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 tabRatio="739" activeTab="6"/>
  </bookViews>
  <sheets>
    <sheet name="Pilotaje y Muro colado" sheetId="1" r:id="rId1"/>
    <sheet name="Excavacion" sheetId="2" r:id="rId2"/>
    <sheet name="Estructura" sheetId="4" r:id="rId3"/>
    <sheet name="Albañileria" sheetId="7" r:id="rId4"/>
    <sheet name="CARPINTERIA" sheetId="10" r:id="rId5"/>
    <sheet name="M.Sanitarios" sheetId="8" r:id="rId6"/>
    <sheet name="resumen" sheetId="3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L121" i="4" l="1"/>
  <c r="F77" i="7"/>
  <c r="D7" i="3"/>
  <c r="F14" i="3"/>
  <c r="O6" i="7"/>
  <c r="O4" i="7"/>
  <c r="N14" i="3" l="1"/>
  <c r="O73" i="7"/>
  <c r="K75" i="7"/>
  <c r="C12" i="3"/>
  <c r="E12" i="3" s="1"/>
  <c r="G5" i="8"/>
  <c r="G6" i="8"/>
  <c r="G7" i="8"/>
  <c r="G8" i="8"/>
  <c r="G9" i="8"/>
  <c r="G10" i="8"/>
  <c r="G11" i="8"/>
  <c r="G12" i="8"/>
  <c r="G13" i="8"/>
  <c r="G14" i="8"/>
  <c r="D11" i="3"/>
  <c r="D7" i="10"/>
  <c r="D8" i="10"/>
  <c r="D9" i="10"/>
  <c r="D6" i="10"/>
  <c r="H94" i="4" l="1"/>
  <c r="H93" i="4"/>
  <c r="H92" i="4"/>
  <c r="H91" i="4"/>
  <c r="H90" i="4"/>
  <c r="H89" i="4"/>
  <c r="G19" i="7"/>
  <c r="G18" i="7"/>
  <c r="G17" i="7"/>
  <c r="G22" i="8" l="1"/>
  <c r="C9" i="3" s="1"/>
  <c r="E9" i="3" s="1"/>
  <c r="D12" i="10"/>
  <c r="C59" i="7"/>
  <c r="C64" i="7"/>
  <c r="C63" i="7"/>
  <c r="K32" i="7"/>
  <c r="C68" i="7" l="1"/>
  <c r="C67" i="7"/>
  <c r="C66" i="7"/>
  <c r="C65" i="7"/>
  <c r="K26" i="7"/>
  <c r="H121" i="4"/>
  <c r="C62" i="7"/>
  <c r="H124" i="4"/>
  <c r="H122" i="4"/>
  <c r="E13" i="3"/>
  <c r="C61" i="7"/>
  <c r="C60" i="7" l="1"/>
  <c r="C57" i="7"/>
  <c r="K24" i="7"/>
  <c r="K13" i="7"/>
  <c r="K22" i="7"/>
  <c r="K18" i="7"/>
  <c r="K17" i="7"/>
  <c r="C55" i="7"/>
  <c r="C53" i="7"/>
  <c r="C52" i="7"/>
  <c r="C51" i="7"/>
  <c r="C50" i="7"/>
  <c r="C49" i="7"/>
  <c r="C48" i="7"/>
  <c r="C47" i="7"/>
  <c r="C46" i="7"/>
  <c r="C45" i="7"/>
  <c r="C44" i="7" l="1"/>
  <c r="E8" i="3" l="1"/>
  <c r="C43" i="7"/>
  <c r="C42" i="7"/>
  <c r="C40" i="7"/>
  <c r="C41" i="7"/>
  <c r="G16" i="7"/>
  <c r="G15" i="7"/>
  <c r="G14" i="7"/>
  <c r="G13" i="7"/>
  <c r="G12" i="7"/>
  <c r="G11" i="7"/>
  <c r="G10" i="7"/>
  <c r="G9" i="7"/>
  <c r="G8" i="7"/>
  <c r="G73" i="7" l="1"/>
  <c r="G74" i="7" s="1"/>
  <c r="C39" i="7"/>
  <c r="H71" i="4" l="1"/>
  <c r="H74" i="4"/>
  <c r="H77" i="4"/>
  <c r="H81" i="4"/>
  <c r="H82" i="4"/>
  <c r="H85" i="4"/>
  <c r="D15" i="10" l="1"/>
  <c r="H125" i="4" l="1"/>
  <c r="C38" i="7" l="1"/>
  <c r="C37" i="7"/>
  <c r="C36" i="7"/>
  <c r="C33" i="7"/>
  <c r="C32" i="7"/>
  <c r="C35" i="7"/>
  <c r="C31" i="7"/>
  <c r="C29" i="7" l="1"/>
  <c r="C27" i="7" l="1"/>
  <c r="C26" i="7" l="1"/>
  <c r="C23" i="7" l="1"/>
  <c r="K7" i="7" l="1"/>
  <c r="H78" i="4" l="1"/>
  <c r="D86" i="4" l="1"/>
  <c r="C24" i="7" l="1"/>
  <c r="H75" i="4"/>
  <c r="C21" i="7" l="1"/>
  <c r="H65" i="4"/>
  <c r="G6" i="7"/>
  <c r="H69" i="4" l="1"/>
  <c r="G7" i="7"/>
  <c r="C20" i="7" l="1"/>
  <c r="H72" i="4"/>
  <c r="H123" i="4" s="1"/>
  <c r="H129" i="4" s="1"/>
  <c r="C18" i="7"/>
  <c r="C19" i="7"/>
  <c r="C17" i="7" l="1"/>
  <c r="D81" i="4" l="1"/>
  <c r="C16" i="7"/>
  <c r="C15" i="7"/>
  <c r="C14" i="7" l="1"/>
  <c r="C13" i="7"/>
  <c r="C12" i="7"/>
  <c r="K4" i="7"/>
  <c r="C11" i="7"/>
  <c r="C10" i="7"/>
  <c r="C9" i="7"/>
  <c r="C8" i="7"/>
  <c r="C7" i="7"/>
  <c r="C6" i="7"/>
  <c r="C5" i="7"/>
  <c r="C4" i="7"/>
  <c r="L66" i="4"/>
  <c r="C73" i="7" l="1"/>
  <c r="N7" i="3" l="1"/>
  <c r="H64" i="4" l="1"/>
  <c r="D75" i="4"/>
  <c r="H62" i="4" l="1"/>
  <c r="D72" i="4"/>
  <c r="C15" i="8"/>
  <c r="D9" i="3" s="1"/>
  <c r="F9" i="3" s="1"/>
  <c r="D60" i="4" l="1"/>
  <c r="D59" i="4"/>
  <c r="H56" i="4"/>
  <c r="H55" i="4"/>
  <c r="D52" i="4" l="1"/>
  <c r="H52" i="4"/>
  <c r="D48" i="4"/>
  <c r="H50" i="4"/>
  <c r="D41" i="4" l="1"/>
  <c r="H45" i="4"/>
  <c r="H7" i="2"/>
  <c r="H5" i="2"/>
  <c r="H18" i="2" s="1"/>
  <c r="H6" i="2"/>
  <c r="F6" i="3" l="1"/>
  <c r="M5" i="3"/>
  <c r="D8" i="3"/>
  <c r="D45" i="4" l="1"/>
  <c r="D44" i="4"/>
  <c r="M6" i="3" l="1"/>
  <c r="M4" i="3" l="1"/>
  <c r="M7" i="3"/>
  <c r="M8" i="3"/>
  <c r="M9" i="3"/>
  <c r="M10" i="3"/>
  <c r="M11" i="3"/>
  <c r="M12" i="3"/>
  <c r="M13" i="3"/>
  <c r="M14" i="3"/>
  <c r="M15" i="3"/>
  <c r="H47" i="4"/>
  <c r="D43" i="4"/>
  <c r="H46" i="4"/>
  <c r="E15" i="3" l="1"/>
  <c r="F13" i="3"/>
  <c r="N13" i="3" s="1"/>
  <c r="E11" i="3"/>
  <c r="E10" i="3"/>
  <c r="L3" i="3"/>
  <c r="K3" i="3"/>
  <c r="J3" i="3"/>
  <c r="I3" i="3"/>
  <c r="M3" i="3" l="1"/>
  <c r="M18" i="3" s="1"/>
  <c r="F8" i="3"/>
  <c r="N8" i="3" s="1"/>
  <c r="F11" i="3"/>
  <c r="N11" i="3" s="1"/>
  <c r="F15" i="3"/>
  <c r="N15" i="3" s="1"/>
  <c r="F12" i="3"/>
  <c r="N12" i="3" s="1"/>
  <c r="F10" i="3"/>
  <c r="N10" i="3" s="1"/>
  <c r="N9" i="3"/>
  <c r="H39" i="4" l="1"/>
  <c r="H29" i="4"/>
  <c r="H24" i="4" l="1"/>
  <c r="H20" i="4"/>
  <c r="D11" i="4"/>
  <c r="D25" i="2" l="1"/>
  <c r="D30" i="2" s="1"/>
  <c r="H19" i="2" s="1"/>
  <c r="D26" i="2"/>
  <c r="D36" i="4" l="1"/>
  <c r="C4" i="3" l="1"/>
  <c r="E4" i="3" s="1"/>
  <c r="D4" i="3"/>
  <c r="F4" i="3" l="1"/>
  <c r="N4" i="3" s="1"/>
  <c r="D25" i="4"/>
  <c r="H25" i="4"/>
  <c r="D28" i="4"/>
  <c r="D21" i="4"/>
  <c r="D20" i="4"/>
  <c r="H18" i="4"/>
  <c r="D9" i="4"/>
  <c r="H9" i="4" l="1"/>
  <c r="H11" i="4"/>
  <c r="H15" i="4" l="1"/>
  <c r="H118" i="4" s="1"/>
  <c r="C5" i="3" l="1"/>
  <c r="E5" i="3" s="1"/>
  <c r="F5" i="3" s="1"/>
  <c r="N5" i="3" s="1"/>
  <c r="D10" i="4"/>
  <c r="H128" i="4" l="1"/>
  <c r="D5" i="3" s="1"/>
  <c r="D117" i="4"/>
  <c r="N6" i="3"/>
  <c r="C34" i="1"/>
  <c r="C28" i="1" l="1"/>
  <c r="G7" i="1" l="1"/>
  <c r="G6" i="1"/>
  <c r="G11" i="1" s="1"/>
  <c r="G25" i="1" s="1"/>
  <c r="G37" i="1" s="1"/>
  <c r="C3" i="3" s="1"/>
  <c r="E3" i="3" l="1"/>
  <c r="E18" i="3" s="1"/>
  <c r="C18" i="3"/>
  <c r="C21" i="1"/>
  <c r="C20" i="1"/>
  <c r="C19" i="1"/>
  <c r="C18" i="1"/>
  <c r="C15" i="1"/>
  <c r="C14" i="1"/>
  <c r="C13" i="1"/>
  <c r="C12" i="1"/>
  <c r="C9" i="1"/>
  <c r="G24" i="1" s="1"/>
  <c r="C8" i="1"/>
  <c r="G23" i="1" s="1"/>
  <c r="C7" i="1"/>
  <c r="C6" i="1"/>
  <c r="G20" i="1" s="1"/>
  <c r="G21" i="1" l="1"/>
  <c r="G36" i="1"/>
  <c r="D3" i="3" s="1"/>
  <c r="C22" i="1"/>
  <c r="C16" i="1"/>
  <c r="C10" i="1"/>
  <c r="F3" i="3" l="1"/>
  <c r="D18" i="3"/>
  <c r="N3" i="3" l="1"/>
  <c r="F18" i="3"/>
  <c r="N19" i="3" s="1"/>
</calcChain>
</file>

<file path=xl/sharedStrings.xml><?xml version="1.0" encoding="utf-8"?>
<sst xmlns="http://schemas.openxmlformats.org/spreadsheetml/2006/main" count="848" uniqueCount="223">
  <si>
    <t>MES</t>
  </si>
  <si>
    <t>PROVEEDOR</t>
  </si>
  <si>
    <t>IMPORTE</t>
  </si>
  <si>
    <t>MAYO</t>
  </si>
  <si>
    <t>GERDAU</t>
  </si>
  <si>
    <t>LAUSOL</t>
  </si>
  <si>
    <t>DOLARES</t>
  </si>
  <si>
    <t>PESOS</t>
  </si>
  <si>
    <t>JUNIO</t>
  </si>
  <si>
    <t>COSTA FORTUNA</t>
  </si>
  <si>
    <t>VIAL ORIENTAL</t>
  </si>
  <si>
    <t>JULIO</t>
  </si>
  <si>
    <t>MANO DE OBRA</t>
  </si>
  <si>
    <t>TOTAL HIERRO</t>
  </si>
  <si>
    <t>TOTAL PILOTAJE</t>
  </si>
  <si>
    <t>TOTAL HORMIGON</t>
  </si>
  <si>
    <t>TOTAL EXTRACCIÓN</t>
  </si>
  <si>
    <t>TOTAL MANO DE OBRA</t>
  </si>
  <si>
    <t>TOTAL FINAL AL 31/07/2013</t>
  </si>
  <si>
    <t>(DOLARES)</t>
  </si>
  <si>
    <t>(PESOS)</t>
  </si>
  <si>
    <t>NEVES</t>
  </si>
  <si>
    <t>TOTAL MAQ. APOYO PILOTAJE</t>
  </si>
  <si>
    <t>AGOSTO</t>
  </si>
  <si>
    <t>TIMBER (HIERRO)</t>
  </si>
  <si>
    <t>SEPTIEMBRE</t>
  </si>
  <si>
    <t>Pilotaje y Muro Colado</t>
  </si>
  <si>
    <t>$ (Pesos)</t>
  </si>
  <si>
    <t>USD (Dolares)</t>
  </si>
  <si>
    <t>TOTALES POR ETAPAS</t>
  </si>
  <si>
    <t>Concepto</t>
  </si>
  <si>
    <t>Febrero</t>
  </si>
  <si>
    <t>Marzo</t>
  </si>
  <si>
    <t>Septiembre</t>
  </si>
  <si>
    <t>Octubre</t>
  </si>
  <si>
    <t>iva inc</t>
  </si>
  <si>
    <t>Excavación</t>
  </si>
  <si>
    <t>Noviembre</t>
  </si>
  <si>
    <t>Lausol</t>
  </si>
  <si>
    <t>Encofrado</t>
  </si>
  <si>
    <t>Timber</t>
  </si>
  <si>
    <t>Diciembre</t>
  </si>
  <si>
    <t>Gafiral</t>
  </si>
  <si>
    <t>TOTAL RETIRO RELLENO</t>
  </si>
  <si>
    <t>RAMPA</t>
  </si>
  <si>
    <t>La Mezclera</t>
  </si>
  <si>
    <t>Gafiral - Maquinas</t>
  </si>
  <si>
    <t>SERV. DE MAQUINARIA</t>
  </si>
  <si>
    <t>Tablas Encofrado</t>
  </si>
  <si>
    <t>Mano de obra</t>
  </si>
  <si>
    <t>TOTALES</t>
  </si>
  <si>
    <t>TOTAL ENCOFRADO</t>
  </si>
  <si>
    <t>TOTAL COMP. HOTMIGON</t>
  </si>
  <si>
    <t>Portland</t>
  </si>
  <si>
    <t>Enero</t>
  </si>
  <si>
    <t>Timber - Complem.</t>
  </si>
  <si>
    <t>Cementos Artigas</t>
  </si>
  <si>
    <t>Gafiral - Retiro relleno</t>
  </si>
  <si>
    <t>Alsina</t>
  </si>
  <si>
    <t>Abril</t>
  </si>
  <si>
    <t>Atenko</t>
  </si>
  <si>
    <t>Pedregullo</t>
  </si>
  <si>
    <t>Chapones</t>
  </si>
  <si>
    <t>Mayo</t>
  </si>
  <si>
    <t>Junio</t>
  </si>
  <si>
    <t>Julio</t>
  </si>
  <si>
    <t>hormicel</t>
  </si>
  <si>
    <t>enero</t>
  </si>
  <si>
    <t>Total USD</t>
  </si>
  <si>
    <t>Clavos</t>
  </si>
  <si>
    <t>marzo</t>
  </si>
  <si>
    <t>Timber - Fenolicos</t>
  </si>
  <si>
    <t>Gandara</t>
  </si>
  <si>
    <t>TABLAS, PEDREGULLO, PORTLAND ETC</t>
  </si>
  <si>
    <t>Total</t>
  </si>
  <si>
    <t>Estructura</t>
  </si>
  <si>
    <t>COSTE DE OBRA</t>
  </si>
  <si>
    <t>Base</t>
  </si>
  <si>
    <t>Adm 3%</t>
  </si>
  <si>
    <t>Iva 22%</t>
  </si>
  <si>
    <t>Total pesos</t>
  </si>
  <si>
    <t>Total Dolares</t>
  </si>
  <si>
    <t>Ascensores</t>
  </si>
  <si>
    <t>Albañileria</t>
  </si>
  <si>
    <t>Electrica</t>
  </si>
  <si>
    <t>Sanitaria</t>
  </si>
  <si>
    <t>Aluminio</t>
  </si>
  <si>
    <t>Carpinteria</t>
  </si>
  <si>
    <t>Herreria</t>
  </si>
  <si>
    <t>Pintura</t>
  </si>
  <si>
    <t>Marmoles</t>
  </si>
  <si>
    <t>Paisajismo</t>
  </si>
  <si>
    <t>chapones</t>
  </si>
  <si>
    <t>timber</t>
  </si>
  <si>
    <t>clavos</t>
  </si>
  <si>
    <t>junio</t>
  </si>
  <si>
    <t>Saldo</t>
  </si>
  <si>
    <t>Saldo Total</t>
  </si>
  <si>
    <t>Mano de Obra</t>
  </si>
  <si>
    <t>Gafiral . Retiro relleno</t>
  </si>
  <si>
    <t>hierro</t>
  </si>
  <si>
    <t>timber comp</t>
  </si>
  <si>
    <t>mayo</t>
  </si>
  <si>
    <t>julio</t>
  </si>
  <si>
    <t>fujitec</t>
  </si>
  <si>
    <t>jt de leon</t>
  </si>
  <si>
    <t xml:space="preserve">laviere </t>
  </si>
  <si>
    <t>Pedro herreria</t>
  </si>
  <si>
    <t>timber complemento</t>
  </si>
  <si>
    <t>alsina</t>
  </si>
  <si>
    <t>mano de obra</t>
  </si>
  <si>
    <t>agosto</t>
  </si>
  <si>
    <t>cementos artigas</t>
  </si>
  <si>
    <t>septiembre</t>
  </si>
  <si>
    <t>alambre</t>
  </si>
  <si>
    <t>caños escalera</t>
  </si>
  <si>
    <t>madera escalera</t>
  </si>
  <si>
    <t>pedro herreria</t>
  </si>
  <si>
    <t>fecha</t>
  </si>
  <si>
    <t>proveedor</t>
  </si>
  <si>
    <t>importe</t>
  </si>
  <si>
    <t>Dolares</t>
  </si>
  <si>
    <t>Pesos</t>
  </si>
  <si>
    <t>concepto</t>
  </si>
  <si>
    <t>importe $</t>
  </si>
  <si>
    <t>ticholos</t>
  </si>
  <si>
    <t>portland</t>
  </si>
  <si>
    <t>yeso subsuelos</t>
  </si>
  <si>
    <t>arho</t>
  </si>
  <si>
    <t>octubre</t>
  </si>
  <si>
    <t>noviembre</t>
  </si>
  <si>
    <t>TC del dia</t>
  </si>
  <si>
    <t>sin textura</t>
  </si>
  <si>
    <t>OCTUBRE</t>
  </si>
  <si>
    <t>NOVIEMBRE</t>
  </si>
  <si>
    <t>tablas</t>
  </si>
  <si>
    <t>arena</t>
  </si>
  <si>
    <t>DICIEMBRE</t>
  </si>
  <si>
    <t>TOTAL</t>
  </si>
  <si>
    <t>diciembre</t>
  </si>
  <si>
    <t>ALBAÑILERIA</t>
  </si>
  <si>
    <t>ESTRUCTURA</t>
  </si>
  <si>
    <t>verde</t>
  </si>
  <si>
    <t>febrero</t>
  </si>
  <si>
    <t>yeso piso muestra</t>
  </si>
  <si>
    <t>tc</t>
  </si>
  <si>
    <t>dólar</t>
  </si>
  <si>
    <t>bosch</t>
  </si>
  <si>
    <t>bagno</t>
  </si>
  <si>
    <t>Yeso piso de muestra mano de obra</t>
  </si>
  <si>
    <t>YESO</t>
  </si>
  <si>
    <t>REVESTIM/ SANITARIOS</t>
  </si>
  <si>
    <t>importe usd</t>
  </si>
  <si>
    <t>importe USD</t>
  </si>
  <si>
    <t>TOTAL ALBAÑILERIA</t>
  </si>
  <si>
    <t>CARPINTERIA</t>
  </si>
  <si>
    <t>GELBRIN</t>
  </si>
  <si>
    <t>poliuretano</t>
  </si>
  <si>
    <t>fenolicos</t>
  </si>
  <si>
    <t>sep. Hormigon</t>
  </si>
  <si>
    <t>abril</t>
  </si>
  <si>
    <t>Piso 2, 3 y 4</t>
  </si>
  <si>
    <t>prod. Sika</t>
  </si>
  <si>
    <t>yesur carpeta</t>
  </si>
  <si>
    <t>Piso 1 y 5</t>
  </si>
  <si>
    <t>TICHOLO</t>
  </si>
  <si>
    <t>BINDA</t>
  </si>
  <si>
    <t>TIMBER</t>
  </si>
  <si>
    <t>MEZCLA</t>
  </si>
  <si>
    <t>ARENA</t>
  </si>
  <si>
    <t>PLACAS YESO Y ACC</t>
  </si>
  <si>
    <t>BIINDA Y MAS</t>
  </si>
  <si>
    <t>PROYECTADO 10-11-12-13</t>
  </si>
  <si>
    <t>MARZO</t>
  </si>
  <si>
    <t>PROYECTADO 7-8-9-10</t>
  </si>
  <si>
    <t>PROYECTADO 6-7-8-9</t>
  </si>
  <si>
    <t>PISO 5-6</t>
  </si>
  <si>
    <t>PISOS 1-4</t>
  </si>
  <si>
    <t>TC 30</t>
  </si>
  <si>
    <t>MILETO</t>
  </si>
  <si>
    <t>USD 26,192</t>
  </si>
  <si>
    <t>PAVIMENTTI</t>
  </si>
  <si>
    <t>$ 1,335,656</t>
  </si>
  <si>
    <t>PROYECTADO 17-19</t>
  </si>
  <si>
    <t>PLACA 1-11</t>
  </si>
  <si>
    <t>PISO-10-13</t>
  </si>
  <si>
    <t>PROYECTADO 14-16</t>
  </si>
  <si>
    <t>PLACA-</t>
  </si>
  <si>
    <t>PISO-9-11</t>
  </si>
  <si>
    <t>PISO 7-9</t>
  </si>
  <si>
    <t xml:space="preserve">PLACA </t>
  </si>
  <si>
    <t>PLACA</t>
  </si>
  <si>
    <t>PROYECTADO 13</t>
  </si>
  <si>
    <t>mezcla</t>
  </si>
  <si>
    <t>sika</t>
  </si>
  <si>
    <t>sep</t>
  </si>
  <si>
    <t>ago</t>
  </si>
  <si>
    <t>oct</t>
  </si>
  <si>
    <t>usg</t>
  </si>
  <si>
    <t>PROYECTADO ESCALERAS Y P21</t>
  </si>
  <si>
    <t>CONTRAPISO 14,15,16,19,20</t>
  </si>
  <si>
    <t>OTROS</t>
  </si>
  <si>
    <t>ENERO</t>
  </si>
  <si>
    <t>ZOCALOS</t>
  </si>
  <si>
    <t>SIKA</t>
  </si>
  <si>
    <t>USG</t>
  </si>
  <si>
    <t>LUISSI</t>
  </si>
  <si>
    <t>membranas/aislante</t>
  </si>
  <si>
    <t>pu</t>
  </si>
  <si>
    <t>piscina</t>
  </si>
  <si>
    <t>mayoi</t>
  </si>
  <si>
    <t>1º tamarsa</t>
  </si>
  <si>
    <t>t/c</t>
  </si>
  <si>
    <t>euros</t>
  </si>
  <si>
    <t>2º tamarsa</t>
  </si>
  <si>
    <t>1º suter</t>
  </si>
  <si>
    <t>febreo</t>
  </si>
  <si>
    <t>2º suter</t>
  </si>
  <si>
    <t>total herreria</t>
  </si>
  <si>
    <t>herreria pedro ferreira</t>
  </si>
  <si>
    <t>FEBRERO</t>
  </si>
  <si>
    <t>acher</t>
  </si>
  <si>
    <t>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</si>
</sst>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4" fontId="0" fillId="5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4" fontId="0" fillId="6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4" fontId="0" fillId="7" borderId="4" xfId="0" applyNumberFormat="1" applyFill="1" applyBorder="1" applyAlignment="1">
      <alignment vertical="center"/>
    </xf>
    <xf numFmtId="4" fontId="0" fillId="7" borderId="6" xfId="0" applyNumberFormat="1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9" xfId="0" applyFill="1" applyBorder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1" fillId="8" borderId="3" xfId="0" applyNumberFormat="1" applyFont="1" applyFill="1" applyBorder="1" applyAlignment="1">
      <alignment vertical="center"/>
    </xf>
    <xf numFmtId="4" fontId="1" fillId="8" borderId="8" xfId="0" applyNumberFormat="1" applyFont="1" applyFill="1" applyBorder="1" applyAlignment="1">
      <alignment vertical="center"/>
    </xf>
    <xf numFmtId="4" fontId="2" fillId="7" borderId="6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2" fillId="7" borderId="9" xfId="0" applyNumberFormat="1" applyFont="1" applyFill="1" applyBorder="1" applyAlignment="1">
      <alignment vertical="center"/>
    </xf>
    <xf numFmtId="4" fontId="0" fillId="0" borderId="0" xfId="0" applyNumberFormat="1" applyFont="1" applyFill="1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9" borderId="0" xfId="0" applyFill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4" fontId="0" fillId="0" borderId="0" xfId="0" applyNumberFormat="1"/>
    <xf numFmtId="0" fontId="2" fillId="7" borderId="5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  <xf numFmtId="0" fontId="2" fillId="0" borderId="0" xfId="0" applyFont="1"/>
    <xf numFmtId="4" fontId="0" fillId="7" borderId="6" xfId="0" applyNumberFormat="1" applyFon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4" fontId="0" fillId="5" borderId="0" xfId="0" applyNumberFormat="1" applyFill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12" borderId="19" xfId="0" applyFill="1" applyBorder="1"/>
    <xf numFmtId="4" fontId="0" fillId="12" borderId="19" xfId="0" applyNumberFormat="1" applyFill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/>
    <xf numFmtId="3" fontId="0" fillId="0" borderId="0" xfId="0" applyNumberFormat="1" applyAlignment="1">
      <alignment vertical="center"/>
    </xf>
    <xf numFmtId="3" fontId="0" fillId="10" borderId="15" xfId="0" applyNumberFormat="1" applyFill="1" applyBorder="1" applyAlignment="1">
      <alignment horizontal="center" vertical="center"/>
    </xf>
    <xf numFmtId="3" fontId="1" fillId="10" borderId="15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0" fillId="10" borderId="13" xfId="0" applyNumberFormat="1" applyFill="1" applyBorder="1" applyAlignment="1">
      <alignment horizontal="center" vertical="center"/>
    </xf>
    <xf numFmtId="3" fontId="0" fillId="10" borderId="15" xfId="0" applyNumberFormat="1" applyFont="1" applyFill="1" applyBorder="1" applyAlignment="1">
      <alignment horizontal="center" vertical="center"/>
    </xf>
    <xf numFmtId="3" fontId="0" fillId="10" borderId="11" xfId="0" applyNumberFormat="1" applyFont="1" applyFill="1" applyBorder="1" applyAlignment="1">
      <alignment horizontal="center" vertical="center"/>
    </xf>
    <xf numFmtId="3" fontId="0" fillId="0" borderId="14" xfId="0" applyNumberForma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4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1" fillId="13" borderId="0" xfId="0" applyNumberFormat="1" applyFont="1" applyFill="1" applyAlignment="1">
      <alignment vertical="center"/>
    </xf>
    <xf numFmtId="3" fontId="7" fillId="14" borderId="0" xfId="0" applyNumberFormat="1" applyFont="1" applyFill="1" applyAlignment="1">
      <alignment vertical="center"/>
    </xf>
    <xf numFmtId="3" fontId="7" fillId="15" borderId="0" xfId="0" applyNumberFormat="1" applyFont="1" applyFill="1" applyAlignment="1">
      <alignment vertical="center"/>
    </xf>
    <xf numFmtId="3" fontId="0" fillId="16" borderId="0" xfId="0" applyNumberFormat="1" applyFill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horizontal="center" vertical="center"/>
    </xf>
    <xf numFmtId="0" fontId="0" fillId="12" borderId="0" xfId="0" applyFill="1"/>
    <xf numFmtId="3" fontId="0" fillId="15" borderId="0" xfId="0" applyNumberFormat="1" applyFill="1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/>
    <xf numFmtId="3" fontId="1" fillId="0" borderId="0" xfId="0" applyNumberFormat="1" applyFont="1" applyAlignment="1">
      <alignment vertical="center"/>
    </xf>
    <xf numFmtId="4" fontId="0" fillId="12" borderId="0" xfId="0" applyNumberFormat="1" applyFill="1"/>
    <xf numFmtId="0" fontId="8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15" borderId="0" xfId="0" applyFill="1"/>
    <xf numFmtId="0" fontId="0" fillId="18" borderId="0" xfId="0" applyFill="1"/>
    <xf numFmtId="0" fontId="0" fillId="19" borderId="0" xfId="0" applyFill="1"/>
    <xf numFmtId="3" fontId="0" fillId="0" borderId="0" xfId="0" applyNumberFormat="1" applyFill="1" applyAlignment="1">
      <alignment vertical="center"/>
    </xf>
    <xf numFmtId="0" fontId="0" fillId="0" borderId="19" xfId="0" applyBorder="1"/>
    <xf numFmtId="3" fontId="7" fillId="0" borderId="0" xfId="0" applyNumberFormat="1" applyFont="1"/>
    <xf numFmtId="4" fontId="7" fillId="0" borderId="0" xfId="0" applyNumberFormat="1" applyFont="1"/>
    <xf numFmtId="4" fontId="0" fillId="15" borderId="19" xfId="0" applyNumberFormat="1" applyFill="1" applyBorder="1"/>
    <xf numFmtId="4" fontId="0" fillId="18" borderId="19" xfId="0" applyNumberFormat="1" applyFill="1" applyBorder="1"/>
    <xf numFmtId="4" fontId="0" fillId="19" borderId="19" xfId="0" applyNumberFormat="1" applyFill="1" applyBorder="1"/>
    <xf numFmtId="4" fontId="8" fillId="0" borderId="19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1" fillId="12" borderId="19" xfId="0" applyNumberFormat="1" applyFont="1" applyFill="1" applyBorder="1"/>
    <xf numFmtId="0" fontId="0" fillId="0" borderId="19" xfId="0" applyBorder="1" applyAlignment="1">
      <alignment horizontal="center"/>
    </xf>
    <xf numFmtId="0" fontId="11" fillId="0" borderId="16" xfId="0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12" borderId="22" xfId="0" applyFill="1" applyBorder="1"/>
    <xf numFmtId="0" fontId="0" fillId="12" borderId="24" xfId="0" applyFill="1" applyBorder="1"/>
    <xf numFmtId="0" fontId="0" fillId="12" borderId="23" xfId="0" applyFill="1" applyBorder="1"/>
    <xf numFmtId="0" fontId="0" fillId="0" borderId="0" xfId="0" applyAlignment="1">
      <alignment horizontal="center"/>
    </xf>
    <xf numFmtId="0" fontId="7" fillId="0" borderId="0" xfId="0" applyFont="1" applyFill="1"/>
    <xf numFmtId="0" fontId="7" fillId="0" borderId="0" xfId="0" applyFont="1" applyFill="1" applyBorder="1"/>
    <xf numFmtId="4" fontId="7" fillId="0" borderId="0" xfId="0" applyNumberFormat="1" applyFont="1" applyFill="1" applyBorder="1"/>
    <xf numFmtId="4" fontId="0" fillId="0" borderId="1" xfId="0" applyNumberFormat="1" applyBorder="1"/>
    <xf numFmtId="4" fontId="0" fillId="12" borderId="23" xfId="0" applyNumberFormat="1" applyFill="1" applyBorder="1"/>
    <xf numFmtId="4" fontId="13" fillId="18" borderId="0" xfId="0" applyNumberFormat="1" applyFont="1" applyFill="1"/>
    <xf numFmtId="0" fontId="0" fillId="0" borderId="0" xfId="0" applyAlignment="1">
      <alignment horizontal="center"/>
    </xf>
    <xf numFmtId="0" fontId="2" fillId="7" borderId="7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7" borderId="5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8" fillId="15" borderId="0" xfId="0" applyNumberFormat="1" applyFont="1" applyFill="1" applyAlignment="1">
      <alignment horizontal="center"/>
    </xf>
    <xf numFmtId="0" fontId="8" fillId="18" borderId="0" xfId="0" applyNumberFormat="1" applyFont="1" applyFill="1" applyAlignment="1">
      <alignment horizontal="center"/>
    </xf>
    <xf numFmtId="0" fontId="8" fillId="19" borderId="0" xfId="0" applyNumberFormat="1" applyFont="1" applyFill="1" applyAlignment="1">
      <alignment horizontal="center"/>
    </xf>
    <xf numFmtId="0" fontId="10" fillId="17" borderId="19" xfId="0" applyFont="1" applyFill="1" applyBorder="1" applyAlignment="1">
      <alignment horizontal="center"/>
    </xf>
    <xf numFmtId="0" fontId="8" fillId="12" borderId="0" xfId="0" applyNumberFormat="1" applyFont="1" applyFill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3" fontId="1" fillId="11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847726</xdr:colOff>
      <xdr:row>0</xdr:row>
      <xdr:rowOff>85725</xdr:rowOff>
    </xdr:from>
    <xdr:ext cx="3171824" cy="314324"/>
    <xdr:sp macro="" textlink="">
      <xdr:nvSpPr>
        <xdr:cNvPr id="2" name="1 Rectángulo"/>
        <xdr:cNvSpPr/>
      </xdr:nvSpPr>
      <xdr:spPr>
        <a:xfrm>
          <a:off x="1628776" y="85725"/>
          <a:ext cx="3171824" cy="31432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s-ES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Pilotaje y Muro Colado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1</xdr:row>
      <xdr:rowOff>38099</xdr:rowOff>
    </xdr:from>
    <xdr:ext cx="1943100" cy="371475"/>
    <xdr:sp macro="" textlink="">
      <xdr:nvSpPr>
        <xdr:cNvPr id="2" name="1 Rectángulo"/>
        <xdr:cNvSpPr/>
      </xdr:nvSpPr>
      <xdr:spPr>
        <a:xfrm>
          <a:off x="542925" y="228599"/>
          <a:ext cx="1943100" cy="37147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s-ES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Excavación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698214</xdr:colOff>
      <xdr:row>0</xdr:row>
      <xdr:rowOff>50299</xdr:rowOff>
    </xdr:from>
    <xdr:ext cx="3492786" cy="374141"/>
    <xdr:sp macro="" textlink="">
      <xdr:nvSpPr>
        <xdr:cNvPr id="2" name="1 Rectángulo"/>
        <xdr:cNvSpPr/>
      </xdr:nvSpPr>
      <xdr:spPr>
        <a:xfrm>
          <a:off x="1460214" y="50299"/>
          <a:ext cx="3492786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8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materiales sanitarios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Desktop/Construmil/CONSTRUMIL/LABORAL/CONSTRUCCION/MONTO%20TRABAJADORES%20CONSTRUMIL/MONT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UADRILLA 1, 2 Y 3 + REVESTIDOR"/>
      <sheetName val="HORMIGON A Y B+HERREROS"/>
      <sheetName val="JORNAL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7">
          <cell r="C47">
            <v>296460</v>
          </cell>
          <cell r="D47">
            <v>541163</v>
          </cell>
          <cell r="E47">
            <v>614574</v>
          </cell>
          <cell r="F47">
            <v>634398</v>
          </cell>
          <cell r="G47">
            <v>839998</v>
          </cell>
          <cell r="H47">
            <v>1098018</v>
          </cell>
          <cell r="I47">
            <v>1105359</v>
          </cell>
          <cell r="J47">
            <v>1015952</v>
          </cell>
          <cell r="K47">
            <v>1142927</v>
          </cell>
          <cell r="L47">
            <v>1239065</v>
          </cell>
          <cell r="M47">
            <v>1018147</v>
          </cell>
          <cell r="N47">
            <v>651193</v>
          </cell>
        </row>
      </sheetData>
      <sheetData sheetId="13">
        <row r="19">
          <cell r="D19">
            <v>450260</v>
          </cell>
          <cell r="E19">
            <v>573451</v>
          </cell>
          <cell r="F19">
            <v>462552</v>
          </cell>
          <cell r="G19">
            <v>519627</v>
          </cell>
          <cell r="H19">
            <v>545359</v>
          </cell>
          <cell r="I19">
            <v>547382</v>
          </cell>
        </row>
        <row r="29">
          <cell r="D29">
            <v>1122748</v>
          </cell>
          <cell r="E29">
            <v>1428720</v>
          </cell>
          <cell r="F29">
            <v>1129719</v>
          </cell>
          <cell r="G29">
            <v>1272878</v>
          </cell>
          <cell r="H29">
            <v>1360204</v>
          </cell>
          <cell r="I29">
            <v>1362305</v>
          </cell>
          <cell r="J29">
            <v>1235506</v>
          </cell>
          <cell r="K29">
            <v>1094275</v>
          </cell>
          <cell r="L29">
            <v>969387</v>
          </cell>
          <cell r="M29">
            <v>492880</v>
          </cell>
          <cell r="N29">
            <v>444669</v>
          </cell>
          <cell r="O29">
            <v>399948</v>
          </cell>
        </row>
      </sheetData>
      <sheetData sheetId="14">
        <row r="19">
          <cell r="D19">
            <v>22989</v>
          </cell>
          <cell r="E19">
            <v>27342</v>
          </cell>
          <cell r="F19">
            <v>27608</v>
          </cell>
          <cell r="G19">
            <v>29844</v>
          </cell>
          <cell r="H19">
            <v>35200</v>
          </cell>
          <cell r="I19">
            <v>35014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J9" sqref="J9"/>
    </sheetView>
  </sheetViews>
  <sheetFormatPr baseColWidth="10" defaultRowHeight="15" x14ac:dyDescent="0.25"/>
  <cols>
    <col min="1" max="1" width="11.7109375" style="1" bestFit="1" customWidth="1"/>
    <col min="2" max="2" width="15.85546875" style="1" bestFit="1" customWidth="1"/>
    <col min="3" max="3" width="10.140625" style="6" bestFit="1" customWidth="1"/>
    <col min="4" max="4" width="5.5703125" style="1" customWidth="1"/>
    <col min="5" max="5" width="11.7109375" style="1" bestFit="1" customWidth="1"/>
    <col min="6" max="6" width="17" style="1" customWidth="1"/>
    <col min="7" max="7" width="11.7109375" style="6" bestFit="1" customWidth="1"/>
    <col min="8" max="8" width="10.42578125" style="1" bestFit="1" customWidth="1"/>
    <col min="9" max="16384" width="11.42578125" style="1"/>
  </cols>
  <sheetData>
    <row r="1" spans="1:8" ht="15.75" thickBot="1" x14ac:dyDescent="0.3"/>
    <row r="2" spans="1:8" ht="15.75" thickBot="1" x14ac:dyDescent="0.3">
      <c r="H2" s="25" t="s">
        <v>35</v>
      </c>
    </row>
    <row r="4" spans="1:8" x14ac:dyDescent="0.25">
      <c r="A4" s="117" t="s">
        <v>6</v>
      </c>
      <c r="B4" s="117"/>
      <c r="C4" s="117"/>
      <c r="E4" s="118" t="s">
        <v>7</v>
      </c>
      <c r="F4" s="118"/>
      <c r="G4" s="118"/>
    </row>
    <row r="5" spans="1:8" x14ac:dyDescent="0.25">
      <c r="A5" s="2" t="s">
        <v>0</v>
      </c>
      <c r="B5" s="2" t="s">
        <v>1</v>
      </c>
      <c r="C5" s="3" t="s">
        <v>2</v>
      </c>
      <c r="E5" s="4" t="s">
        <v>0</v>
      </c>
      <c r="F5" s="4" t="s">
        <v>1</v>
      </c>
      <c r="G5" s="5" t="s">
        <v>2</v>
      </c>
    </row>
    <row r="6" spans="1:8" x14ac:dyDescent="0.25">
      <c r="A6" s="1" t="s">
        <v>3</v>
      </c>
      <c r="B6" s="1" t="s">
        <v>4</v>
      </c>
      <c r="C6" s="6">
        <f>2641.68*1.22</f>
        <v>3222.8495999999996</v>
      </c>
      <c r="E6" s="1" t="s">
        <v>3</v>
      </c>
      <c r="F6" s="1" t="s">
        <v>12</v>
      </c>
      <c r="G6" s="6">
        <f>70260</f>
        <v>70260</v>
      </c>
    </row>
    <row r="7" spans="1:8" x14ac:dyDescent="0.25">
      <c r="A7" s="1" t="s">
        <v>3</v>
      </c>
      <c r="B7" s="1" t="s">
        <v>4</v>
      </c>
      <c r="C7" s="6">
        <f>18239.04*1.22</f>
        <v>22251.628800000002</v>
      </c>
      <c r="E7" s="1" t="s">
        <v>8</v>
      </c>
      <c r="F7" s="1" t="s">
        <v>12</v>
      </c>
      <c r="G7" s="6">
        <f>228634</f>
        <v>228634</v>
      </c>
    </row>
    <row r="8" spans="1:8" x14ac:dyDescent="0.25">
      <c r="A8" s="1" t="s">
        <v>3</v>
      </c>
      <c r="B8" s="1" t="s">
        <v>5</v>
      </c>
      <c r="C8" s="6">
        <f>45825*1.22</f>
        <v>55906.5</v>
      </c>
      <c r="E8" s="1" t="s">
        <v>11</v>
      </c>
      <c r="F8" s="1" t="s">
        <v>12</v>
      </c>
      <c r="G8" s="21">
        <v>263926</v>
      </c>
    </row>
    <row r="9" spans="1:8" x14ac:dyDescent="0.25">
      <c r="A9" s="1" t="s">
        <v>3</v>
      </c>
      <c r="B9" s="1" t="s">
        <v>10</v>
      </c>
      <c r="C9" s="7">
        <f>7321.31*1.22</f>
        <v>8931.9982</v>
      </c>
      <c r="E9" s="1" t="s">
        <v>23</v>
      </c>
      <c r="F9" s="1" t="s">
        <v>12</v>
      </c>
      <c r="G9" s="21">
        <v>309029</v>
      </c>
    </row>
    <row r="10" spans="1:8" x14ac:dyDescent="0.25">
      <c r="C10" s="14">
        <f>SUM(C6:C9)</f>
        <v>90312.976599999995</v>
      </c>
      <c r="E10" s="1" t="s">
        <v>25</v>
      </c>
      <c r="F10" s="1" t="s">
        <v>12</v>
      </c>
      <c r="G10" s="7">
        <v>306182</v>
      </c>
    </row>
    <row r="11" spans="1:8" x14ac:dyDescent="0.25">
      <c r="C11" s="8"/>
      <c r="G11" s="14">
        <f>SUM(G6:G10)</f>
        <v>1178031</v>
      </c>
    </row>
    <row r="12" spans="1:8" x14ac:dyDescent="0.25">
      <c r="A12" s="1" t="s">
        <v>8</v>
      </c>
      <c r="B12" s="1" t="s">
        <v>9</v>
      </c>
      <c r="C12" s="6">
        <f>41216.22*1.22</f>
        <v>50283.788399999998</v>
      </c>
    </row>
    <row r="13" spans="1:8" x14ac:dyDescent="0.25">
      <c r="A13" s="1" t="s">
        <v>8</v>
      </c>
      <c r="B13" s="1" t="s">
        <v>5</v>
      </c>
      <c r="C13" s="6">
        <f>81300*1.22</f>
        <v>99186</v>
      </c>
    </row>
    <row r="14" spans="1:8" x14ac:dyDescent="0.25">
      <c r="A14" s="1" t="s">
        <v>8</v>
      </c>
      <c r="B14" s="1" t="s">
        <v>4</v>
      </c>
      <c r="C14" s="6">
        <f>26653.01*1.22</f>
        <v>32516.672199999997</v>
      </c>
    </row>
    <row r="15" spans="1:8" x14ac:dyDescent="0.25">
      <c r="A15" s="1" t="s">
        <v>8</v>
      </c>
      <c r="B15" s="1" t="s">
        <v>10</v>
      </c>
      <c r="C15" s="7">
        <f>3876*1.22</f>
        <v>4728.72</v>
      </c>
    </row>
    <row r="16" spans="1:8" x14ac:dyDescent="0.25">
      <c r="C16" s="14">
        <f>SUM(C12:C15)</f>
        <v>186715.18059999999</v>
      </c>
    </row>
    <row r="17" spans="1:8" x14ac:dyDescent="0.25">
      <c r="C17" s="8"/>
    </row>
    <row r="18" spans="1:8" x14ac:dyDescent="0.25">
      <c r="A18" s="1" t="s">
        <v>11</v>
      </c>
      <c r="B18" s="1" t="s">
        <v>9</v>
      </c>
      <c r="C18" s="6">
        <f>97697.37*1.22</f>
        <v>119190.79139999999</v>
      </c>
    </row>
    <row r="19" spans="1:8" ht="15.75" thickBot="1" x14ac:dyDescent="0.3">
      <c r="A19" s="1" t="s">
        <v>11</v>
      </c>
      <c r="B19" s="1" t="s">
        <v>4</v>
      </c>
      <c r="C19" s="6">
        <f>29260.92*1.22</f>
        <v>35698.322399999997</v>
      </c>
    </row>
    <row r="20" spans="1:8" x14ac:dyDescent="0.25">
      <c r="A20" s="1" t="s">
        <v>11</v>
      </c>
      <c r="B20" s="1" t="s">
        <v>5</v>
      </c>
      <c r="C20" s="6">
        <f>63900*1.22</f>
        <v>77958</v>
      </c>
      <c r="E20" s="119" t="s">
        <v>13</v>
      </c>
      <c r="F20" s="120"/>
      <c r="G20" s="10">
        <f>C6+C7+C14+C19+C26</f>
        <v>131289.473</v>
      </c>
      <c r="H20" s="1" t="s">
        <v>6</v>
      </c>
    </row>
    <row r="21" spans="1:8" x14ac:dyDescent="0.25">
      <c r="A21" s="1" t="s">
        <v>11</v>
      </c>
      <c r="B21" s="1" t="s">
        <v>10</v>
      </c>
      <c r="C21" s="7">
        <f>4504*1.22</f>
        <v>5494.88</v>
      </c>
      <c r="E21" s="121" t="s">
        <v>14</v>
      </c>
      <c r="F21" s="122"/>
      <c r="G21" s="11">
        <f>+C12+C18+C24</f>
        <v>355402.57979999995</v>
      </c>
      <c r="H21" s="1" t="s">
        <v>6</v>
      </c>
    </row>
    <row r="22" spans="1:8" x14ac:dyDescent="0.25">
      <c r="C22" s="14">
        <f>SUM(C18:C21)</f>
        <v>238341.9938</v>
      </c>
      <c r="E22" s="123" t="s">
        <v>22</v>
      </c>
      <c r="F22" s="124"/>
      <c r="G22" s="17"/>
      <c r="H22" s="18" t="s">
        <v>7</v>
      </c>
    </row>
    <row r="23" spans="1:8" x14ac:dyDescent="0.25">
      <c r="C23" s="14"/>
      <c r="E23" s="121" t="s">
        <v>15</v>
      </c>
      <c r="F23" s="122"/>
      <c r="G23" s="11">
        <f>+C8+C13+C20+C25+C30</f>
        <v>321714</v>
      </c>
      <c r="H23" s="1" t="s">
        <v>6</v>
      </c>
    </row>
    <row r="24" spans="1:8" x14ac:dyDescent="0.25">
      <c r="A24" s="1" t="s">
        <v>23</v>
      </c>
      <c r="B24" s="1" t="s">
        <v>9</v>
      </c>
      <c r="C24" s="20">
        <v>185928</v>
      </c>
      <c r="E24" s="121" t="s">
        <v>16</v>
      </c>
      <c r="F24" s="122"/>
      <c r="G24" s="11">
        <f>+C9+C15+C21</f>
        <v>19155.5982</v>
      </c>
      <c r="H24" s="1" t="s">
        <v>6</v>
      </c>
    </row>
    <row r="25" spans="1:8" ht="15.75" thickBot="1" x14ac:dyDescent="0.3">
      <c r="A25" s="1" t="s">
        <v>23</v>
      </c>
      <c r="B25" s="1" t="s">
        <v>5</v>
      </c>
      <c r="C25" s="20">
        <v>59475</v>
      </c>
      <c r="E25" s="111" t="s">
        <v>17</v>
      </c>
      <c r="F25" s="112"/>
      <c r="G25" s="19">
        <f>+G11</f>
        <v>1178031</v>
      </c>
      <c r="H25" s="18" t="s">
        <v>7</v>
      </c>
    </row>
    <row r="26" spans="1:8" x14ac:dyDescent="0.25">
      <c r="A26" s="1" t="s">
        <v>23</v>
      </c>
      <c r="B26" s="1" t="s">
        <v>24</v>
      </c>
      <c r="C26" s="20">
        <v>37600</v>
      </c>
      <c r="E26" s="9"/>
      <c r="F26" s="9"/>
    </row>
    <row r="27" spans="1:8" x14ac:dyDescent="0.25">
      <c r="A27" s="1" t="s">
        <v>23</v>
      </c>
      <c r="B27" s="1" t="s">
        <v>10</v>
      </c>
      <c r="C27" s="22"/>
      <c r="E27" s="9"/>
      <c r="F27" s="9"/>
    </row>
    <row r="28" spans="1:8" x14ac:dyDescent="0.25">
      <c r="C28" s="14">
        <f>SUM(C24:C27)</f>
        <v>283003</v>
      </c>
      <c r="E28" s="9"/>
      <c r="F28" s="9"/>
    </row>
    <row r="29" spans="1:8" x14ac:dyDescent="0.25">
      <c r="E29" s="9"/>
      <c r="F29" s="9"/>
    </row>
    <row r="30" spans="1:8" ht="17.25" customHeight="1" x14ac:dyDescent="0.25">
      <c r="A30" s="1" t="s">
        <v>25</v>
      </c>
      <c r="B30" s="1" t="s">
        <v>5</v>
      </c>
      <c r="C30" s="20">
        <v>29188.5</v>
      </c>
      <c r="E30" s="9"/>
      <c r="F30" s="9"/>
    </row>
    <row r="31" spans="1:8" ht="17.25" customHeight="1" x14ac:dyDescent="0.25">
      <c r="A31" s="1" t="s">
        <v>25</v>
      </c>
      <c r="B31" s="1" t="s">
        <v>9</v>
      </c>
      <c r="C31" s="20"/>
      <c r="E31" s="9"/>
      <c r="F31" s="9"/>
    </row>
    <row r="32" spans="1:8" ht="17.25" customHeight="1" x14ac:dyDescent="0.25">
      <c r="A32" s="1" t="s">
        <v>25</v>
      </c>
      <c r="B32" s="1" t="s">
        <v>10</v>
      </c>
      <c r="C32" s="20"/>
      <c r="E32" s="9"/>
      <c r="F32" s="9"/>
    </row>
    <row r="33" spans="1:8" x14ac:dyDescent="0.25">
      <c r="A33" s="1" t="s">
        <v>25</v>
      </c>
      <c r="C33" s="7"/>
      <c r="E33" s="9"/>
      <c r="F33" s="9"/>
    </row>
    <row r="34" spans="1:8" x14ac:dyDescent="0.25">
      <c r="C34" s="14">
        <f>SUM(C30:C33)</f>
        <v>29188.5</v>
      </c>
      <c r="E34" s="9"/>
      <c r="F34" s="9"/>
    </row>
    <row r="35" spans="1:8" ht="15.75" thickBot="1" x14ac:dyDescent="0.3">
      <c r="E35" s="9"/>
      <c r="F35" s="9"/>
    </row>
    <row r="36" spans="1:8" x14ac:dyDescent="0.25">
      <c r="E36" s="113" t="s">
        <v>18</v>
      </c>
      <c r="F36" s="114"/>
      <c r="G36" s="15">
        <f>G20+G21+G23+G24</f>
        <v>827561.65099999995</v>
      </c>
      <c r="H36" s="12" t="s">
        <v>19</v>
      </c>
    </row>
    <row r="37" spans="1:8" ht="15.75" thickBot="1" x14ac:dyDescent="0.3">
      <c r="E37" s="115"/>
      <c r="F37" s="116"/>
      <c r="G37" s="16">
        <f>G25+G22</f>
        <v>1178031</v>
      </c>
      <c r="H37" s="13" t="s">
        <v>20</v>
      </c>
    </row>
  </sheetData>
  <mergeCells count="9">
    <mergeCell ref="E25:F25"/>
    <mergeCell ref="E36:F37"/>
    <mergeCell ref="A4:C4"/>
    <mergeCell ref="E4:G4"/>
    <mergeCell ref="E20:F20"/>
    <mergeCell ref="E21:F21"/>
    <mergeCell ref="E23:F23"/>
    <mergeCell ref="E24:F24"/>
    <mergeCell ref="E22:F22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30"/>
  <sheetViews>
    <sheetView topLeftCell="A13" workbookViewId="0">
      <selection activeCell="F3" sqref="F3"/>
    </sheetView>
  </sheetViews>
  <sheetFormatPr baseColWidth="10" defaultRowHeight="15" x14ac:dyDescent="0.25"/>
  <cols>
    <col min="1" max="1" width="2.5703125" customWidth="1"/>
    <col min="3" max="3" width="17.140625" bestFit="1" customWidth="1"/>
    <col min="4" max="4" width="14.28515625" customWidth="1"/>
  </cols>
  <sheetData>
    <row r="4" spans="2:9" ht="15.75" thickBot="1" x14ac:dyDescent="0.3"/>
    <row r="5" spans="2:9" x14ac:dyDescent="0.25">
      <c r="B5" s="117" t="s">
        <v>6</v>
      </c>
      <c r="C5" s="117"/>
      <c r="D5" s="117"/>
      <c r="F5" s="119" t="s">
        <v>43</v>
      </c>
      <c r="G5" s="120"/>
      <c r="H5" s="10">
        <f>+D7+D8+D12+D13+D15</f>
        <v>67572.759999999995</v>
      </c>
      <c r="I5" t="s">
        <v>6</v>
      </c>
    </row>
    <row r="6" spans="2:9" x14ac:dyDescent="0.25">
      <c r="B6" s="2" t="s">
        <v>0</v>
      </c>
      <c r="C6" s="2" t="s">
        <v>1</v>
      </c>
      <c r="D6" s="3" t="s">
        <v>2</v>
      </c>
      <c r="F6" s="123" t="s">
        <v>44</v>
      </c>
      <c r="G6" s="124"/>
      <c r="H6" s="17">
        <f>+D20+D21</f>
        <v>72508.600000000006</v>
      </c>
      <c r="I6" s="29" t="s">
        <v>7</v>
      </c>
    </row>
    <row r="7" spans="2:9" x14ac:dyDescent="0.25">
      <c r="B7" t="s">
        <v>34</v>
      </c>
      <c r="C7" t="s">
        <v>42</v>
      </c>
      <c r="D7" s="26">
        <v>48129.31</v>
      </c>
      <c r="F7" s="126" t="s">
        <v>47</v>
      </c>
      <c r="G7" s="127"/>
      <c r="H7" s="30">
        <f>+D9+D10+D11+D14+D16</f>
        <v>25771.100000000002</v>
      </c>
      <c r="I7" t="s">
        <v>6</v>
      </c>
    </row>
    <row r="8" spans="2:9" ht="15.75" thickBot="1" x14ac:dyDescent="0.3">
      <c r="B8" t="s">
        <v>37</v>
      </c>
      <c r="C8" t="s">
        <v>42</v>
      </c>
      <c r="D8" s="26">
        <v>10903.45</v>
      </c>
      <c r="F8" s="111" t="s">
        <v>12</v>
      </c>
      <c r="G8" s="112"/>
      <c r="H8" s="19"/>
      <c r="I8" s="29" t="s">
        <v>7</v>
      </c>
    </row>
    <row r="9" spans="2:9" x14ac:dyDescent="0.25">
      <c r="B9" t="s">
        <v>37</v>
      </c>
      <c r="C9" t="s">
        <v>46</v>
      </c>
      <c r="D9" s="26">
        <v>3788.1</v>
      </c>
      <c r="F9" s="128"/>
      <c r="G9" s="128"/>
      <c r="H9" s="31"/>
    </row>
    <row r="10" spans="2:9" x14ac:dyDescent="0.25">
      <c r="B10" t="s">
        <v>54</v>
      </c>
      <c r="C10" t="s">
        <v>46</v>
      </c>
      <c r="D10" s="26">
        <v>5513</v>
      </c>
      <c r="F10" s="125"/>
      <c r="G10" s="125"/>
      <c r="H10" s="32"/>
    </row>
    <row r="11" spans="2:9" x14ac:dyDescent="0.25">
      <c r="B11" t="s">
        <v>31</v>
      </c>
      <c r="C11" t="s">
        <v>46</v>
      </c>
      <c r="D11" s="26">
        <v>3650.85</v>
      </c>
    </row>
    <row r="12" spans="2:9" x14ac:dyDescent="0.25">
      <c r="B12" t="s">
        <v>32</v>
      </c>
      <c r="C12" t="s">
        <v>57</v>
      </c>
      <c r="D12" s="26">
        <v>3202.5</v>
      </c>
    </row>
    <row r="13" spans="2:9" x14ac:dyDescent="0.25">
      <c r="B13" t="s">
        <v>59</v>
      </c>
      <c r="C13" t="s">
        <v>57</v>
      </c>
      <c r="D13" s="26">
        <v>1494.5</v>
      </c>
    </row>
    <row r="14" spans="2:9" x14ac:dyDescent="0.25">
      <c r="B14" t="s">
        <v>59</v>
      </c>
      <c r="C14" t="s">
        <v>46</v>
      </c>
      <c r="D14" s="26">
        <v>10848.85</v>
      </c>
    </row>
    <row r="15" spans="2:9" x14ac:dyDescent="0.25">
      <c r="B15" t="s">
        <v>63</v>
      </c>
      <c r="C15" t="s">
        <v>99</v>
      </c>
      <c r="D15" s="26">
        <v>3843</v>
      </c>
    </row>
    <row r="16" spans="2:9" x14ac:dyDescent="0.25">
      <c r="B16" t="s">
        <v>63</v>
      </c>
      <c r="C16" t="s">
        <v>46</v>
      </c>
      <c r="D16" s="26">
        <v>1970.3</v>
      </c>
    </row>
    <row r="17" spans="2:11" ht="15.75" thickBot="1" x14ac:dyDescent="0.3"/>
    <row r="18" spans="2:11" x14ac:dyDescent="0.25">
      <c r="B18" s="118" t="s">
        <v>7</v>
      </c>
      <c r="C18" s="118"/>
      <c r="D18" s="118"/>
      <c r="F18" s="113" t="s">
        <v>50</v>
      </c>
      <c r="G18" s="114"/>
      <c r="H18" s="15">
        <f>+H5+H7</f>
        <v>93343.86</v>
      </c>
      <c r="I18" s="12" t="s">
        <v>19</v>
      </c>
    </row>
    <row r="19" spans="2:11" ht="15.75" thickBot="1" x14ac:dyDescent="0.3">
      <c r="B19" s="4" t="s">
        <v>0</v>
      </c>
      <c r="C19" s="4" t="s">
        <v>1</v>
      </c>
      <c r="D19" s="5" t="s">
        <v>2</v>
      </c>
      <c r="F19" s="115"/>
      <c r="G19" s="116"/>
      <c r="H19" s="16">
        <f>+H6+H8+D30</f>
        <v>800897.2</v>
      </c>
      <c r="I19" s="13" t="s">
        <v>20</v>
      </c>
    </row>
    <row r="20" spans="2:11" x14ac:dyDescent="0.25">
      <c r="B20" t="s">
        <v>33</v>
      </c>
      <c r="C20" t="s">
        <v>45</v>
      </c>
      <c r="D20" s="26">
        <v>55575</v>
      </c>
    </row>
    <row r="21" spans="2:11" x14ac:dyDescent="0.25">
      <c r="B21" t="s">
        <v>34</v>
      </c>
      <c r="C21" t="s">
        <v>45</v>
      </c>
      <c r="D21" s="26">
        <v>16933.599999999999</v>
      </c>
      <c r="K21" s="26"/>
    </row>
    <row r="23" spans="2:11" x14ac:dyDescent="0.25">
      <c r="D23" s="26"/>
    </row>
    <row r="24" spans="2:11" x14ac:dyDescent="0.25">
      <c r="D24" s="26"/>
    </row>
    <row r="25" spans="2:11" x14ac:dyDescent="0.25">
      <c r="B25" s="1" t="s">
        <v>3</v>
      </c>
      <c r="C25" s="1" t="s">
        <v>21</v>
      </c>
      <c r="D25" s="6">
        <f>70720*1.22</f>
        <v>86278.399999999994</v>
      </c>
    </row>
    <row r="26" spans="2:11" x14ac:dyDescent="0.25">
      <c r="B26" s="1" t="s">
        <v>8</v>
      </c>
      <c r="C26" s="1" t="s">
        <v>21</v>
      </c>
      <c r="D26" s="6">
        <f>139400*1.22</f>
        <v>170068</v>
      </c>
    </row>
    <row r="27" spans="2:11" x14ac:dyDescent="0.25">
      <c r="B27" s="1" t="s">
        <v>11</v>
      </c>
      <c r="C27" s="1" t="s">
        <v>21</v>
      </c>
      <c r="D27" s="6">
        <v>182512</v>
      </c>
    </row>
    <row r="28" spans="2:11" x14ac:dyDescent="0.25">
      <c r="B28" s="1" t="s">
        <v>23</v>
      </c>
      <c r="C28" s="1" t="s">
        <v>21</v>
      </c>
      <c r="D28" s="21">
        <v>171727</v>
      </c>
    </row>
    <row r="29" spans="2:11" x14ac:dyDescent="0.25">
      <c r="B29" s="1" t="s">
        <v>25</v>
      </c>
      <c r="C29" s="1" t="s">
        <v>21</v>
      </c>
      <c r="D29" s="7">
        <v>117803.2</v>
      </c>
    </row>
    <row r="30" spans="2:11" x14ac:dyDescent="0.25">
      <c r="B30" s="1"/>
      <c r="C30" s="1"/>
      <c r="D30" s="8">
        <f>SUM(D25:D29)</f>
        <v>728388.6</v>
      </c>
    </row>
  </sheetData>
  <mergeCells count="9">
    <mergeCell ref="F10:G10"/>
    <mergeCell ref="B18:D18"/>
    <mergeCell ref="B5:D5"/>
    <mergeCell ref="F5:G5"/>
    <mergeCell ref="F6:G6"/>
    <mergeCell ref="F7:G7"/>
    <mergeCell ref="F8:G8"/>
    <mergeCell ref="F9:G9"/>
    <mergeCell ref="F18:G19"/>
  </mergeCells>
  <pageMargins left="0.25" right="0.25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0"/>
  <sheetViews>
    <sheetView topLeftCell="A100" workbookViewId="0">
      <selection activeCell="H84" sqref="H84"/>
    </sheetView>
  </sheetViews>
  <sheetFormatPr baseColWidth="10" defaultRowHeight="15" x14ac:dyDescent="0.25"/>
  <cols>
    <col min="1" max="1" width="2.7109375" customWidth="1"/>
    <col min="3" max="3" width="18.140625" customWidth="1"/>
    <col min="4" max="4" width="11.7109375" bestFit="1" customWidth="1"/>
    <col min="5" max="5" width="4.7109375" customWidth="1"/>
    <col min="7" max="7" width="15.85546875" bestFit="1" customWidth="1"/>
    <col min="8" max="8" width="13.28515625" bestFit="1" customWidth="1"/>
    <col min="13" max="13" width="5.7109375" customWidth="1"/>
  </cols>
  <sheetData>
    <row r="1" spans="2:17" x14ac:dyDescent="0.25">
      <c r="B1" s="132"/>
      <c r="C1" s="132"/>
      <c r="D1" s="131" t="s">
        <v>141</v>
      </c>
      <c r="E1" s="131"/>
      <c r="F1" s="131"/>
      <c r="G1" s="132"/>
      <c r="H1" s="132"/>
    </row>
    <row r="2" spans="2:17" x14ac:dyDescent="0.25">
      <c r="B2" s="132"/>
      <c r="C2" s="132"/>
      <c r="D2" s="131"/>
      <c r="E2" s="131"/>
      <c r="F2" s="131"/>
      <c r="G2" s="132"/>
      <c r="H2" s="132"/>
    </row>
    <row r="3" spans="2:17" x14ac:dyDescent="0.25">
      <c r="B3" s="132"/>
      <c r="C3" s="132"/>
      <c r="D3" s="131"/>
      <c r="E3" s="131"/>
      <c r="F3" s="131"/>
      <c r="G3" s="132"/>
      <c r="H3" s="132"/>
    </row>
    <row r="4" spans="2:17" ht="1.5" customHeight="1" x14ac:dyDescent="0.25">
      <c r="B4" s="132"/>
      <c r="C4" s="132"/>
      <c r="D4" s="131"/>
      <c r="E4" s="131"/>
      <c r="F4" s="131"/>
      <c r="G4" s="132"/>
      <c r="H4" s="132"/>
    </row>
    <row r="5" spans="2:17" hidden="1" x14ac:dyDescent="0.25">
      <c r="B5" s="132"/>
      <c r="C5" s="132"/>
      <c r="D5" s="131"/>
      <c r="E5" s="131"/>
      <c r="F5" s="131"/>
      <c r="G5" s="132"/>
      <c r="H5" s="132"/>
    </row>
    <row r="6" spans="2:17" hidden="1" x14ac:dyDescent="0.25">
      <c r="B6" s="132"/>
      <c r="C6" s="132"/>
      <c r="D6" s="131"/>
      <c r="E6" s="131"/>
      <c r="F6" s="131"/>
      <c r="G6" s="132"/>
      <c r="H6" s="132"/>
      <c r="J6" s="69"/>
      <c r="K6" s="69"/>
      <c r="L6" s="69"/>
      <c r="M6" s="69"/>
      <c r="N6" s="69"/>
      <c r="O6" s="69"/>
      <c r="P6" s="69"/>
      <c r="Q6" s="69"/>
    </row>
    <row r="7" spans="2:17" x14ac:dyDescent="0.25">
      <c r="B7" s="136" t="s">
        <v>6</v>
      </c>
      <c r="C7" s="136"/>
      <c r="D7" s="136"/>
      <c r="E7" s="132"/>
      <c r="F7" s="130" t="s">
        <v>7</v>
      </c>
      <c r="G7" s="130"/>
      <c r="H7" s="130"/>
      <c r="J7" s="130" t="s">
        <v>219</v>
      </c>
      <c r="K7" s="130"/>
      <c r="L7" s="130"/>
      <c r="M7" s="69"/>
      <c r="N7" s="129"/>
      <c r="O7" s="129"/>
      <c r="P7" s="129"/>
      <c r="Q7" s="69"/>
    </row>
    <row r="8" spans="2:17" x14ac:dyDescent="0.25">
      <c r="B8" s="2" t="s">
        <v>0</v>
      </c>
      <c r="C8" s="2" t="s">
        <v>1</v>
      </c>
      <c r="D8" s="34" t="s">
        <v>2</v>
      </c>
      <c r="E8" s="132"/>
      <c r="F8" s="4" t="s">
        <v>0</v>
      </c>
      <c r="G8" s="4" t="s">
        <v>1</v>
      </c>
      <c r="H8" s="35" t="s">
        <v>2</v>
      </c>
      <c r="J8" s="69"/>
      <c r="K8" s="70"/>
      <c r="L8" s="71"/>
      <c r="M8" s="69"/>
      <c r="N8" s="70"/>
      <c r="O8" s="70"/>
      <c r="P8" s="71"/>
      <c r="Q8" s="69"/>
    </row>
    <row r="9" spans="2:17" x14ac:dyDescent="0.25">
      <c r="B9" t="s">
        <v>37</v>
      </c>
      <c r="C9" t="s">
        <v>40</v>
      </c>
      <c r="D9" s="26">
        <f>6539+2166+903.7</f>
        <v>9608.7000000000007</v>
      </c>
      <c r="E9" s="132"/>
      <c r="F9" t="s">
        <v>34</v>
      </c>
      <c r="G9" t="s">
        <v>48</v>
      </c>
      <c r="H9" s="26">
        <f>3222+3222+3222</f>
        <v>9666</v>
      </c>
      <c r="J9" s="69"/>
      <c r="K9" s="69"/>
      <c r="L9" s="69"/>
      <c r="M9" s="69"/>
      <c r="N9" s="69"/>
      <c r="O9" s="69"/>
      <c r="P9" s="69"/>
      <c r="Q9" s="69"/>
    </row>
    <row r="10" spans="2:17" x14ac:dyDescent="0.25">
      <c r="B10" t="s">
        <v>37</v>
      </c>
      <c r="C10" t="s">
        <v>38</v>
      </c>
      <c r="D10" s="26">
        <f>7320-1098</f>
        <v>6222</v>
      </c>
      <c r="E10" s="132"/>
      <c r="F10" t="s">
        <v>34</v>
      </c>
      <c r="G10" t="s">
        <v>45</v>
      </c>
      <c r="H10" s="26">
        <v>18788</v>
      </c>
      <c r="J10" s="69"/>
      <c r="K10" s="69"/>
      <c r="L10" s="69"/>
      <c r="M10" s="69"/>
      <c r="N10" s="69"/>
      <c r="O10" s="69"/>
      <c r="P10" s="69"/>
      <c r="Q10" s="69"/>
    </row>
    <row r="11" spans="2:17" x14ac:dyDescent="0.25">
      <c r="B11" t="s">
        <v>37</v>
      </c>
      <c r="C11" t="s">
        <v>39</v>
      </c>
      <c r="D11" s="26">
        <f>1529+580.45+251+415</f>
        <v>2775.45</v>
      </c>
      <c r="E11" s="132"/>
      <c r="F11" t="s">
        <v>34</v>
      </c>
      <c r="G11" t="s">
        <v>53</v>
      </c>
      <c r="H11" s="26">
        <f>27117.47*1.22</f>
        <v>33083.313399999999</v>
      </c>
    </row>
    <row r="12" spans="2:17" x14ac:dyDescent="0.25">
      <c r="D12" s="26"/>
      <c r="E12" s="132"/>
      <c r="F12" t="s">
        <v>34</v>
      </c>
      <c r="G12" t="s">
        <v>49</v>
      </c>
      <c r="H12" s="26">
        <v>284399</v>
      </c>
    </row>
    <row r="13" spans="2:17" x14ac:dyDescent="0.25">
      <c r="D13" s="26"/>
      <c r="E13" s="132"/>
      <c r="F13" t="s">
        <v>37</v>
      </c>
      <c r="G13" t="s">
        <v>45</v>
      </c>
      <c r="H13" s="26">
        <v>18788</v>
      </c>
    </row>
    <row r="14" spans="2:17" x14ac:dyDescent="0.25">
      <c r="B14" t="s">
        <v>41</v>
      </c>
      <c r="C14" t="s">
        <v>40</v>
      </c>
      <c r="D14" s="26"/>
      <c r="E14" s="132"/>
      <c r="F14" t="s">
        <v>37</v>
      </c>
      <c r="G14" t="s">
        <v>53</v>
      </c>
      <c r="H14" s="26">
        <v>61871.08</v>
      </c>
    </row>
    <row r="15" spans="2:17" x14ac:dyDescent="0.25">
      <c r="B15" t="s">
        <v>41</v>
      </c>
      <c r="C15" t="s">
        <v>38</v>
      </c>
      <c r="D15" s="26">
        <v>5166.7</v>
      </c>
      <c r="E15" s="132"/>
      <c r="F15" t="s">
        <v>37</v>
      </c>
      <c r="G15" t="s">
        <v>48</v>
      </c>
      <c r="H15" s="26">
        <f>1289+6445</f>
        <v>7734</v>
      </c>
    </row>
    <row r="16" spans="2:17" x14ac:dyDescent="0.25">
      <c r="B16" t="s">
        <v>41</v>
      </c>
      <c r="C16" t="s">
        <v>39</v>
      </c>
      <c r="D16" s="26">
        <v>124.51</v>
      </c>
      <c r="E16" s="132"/>
      <c r="F16" t="s">
        <v>37</v>
      </c>
      <c r="G16" t="s">
        <v>49</v>
      </c>
      <c r="H16" s="26">
        <v>270621</v>
      </c>
    </row>
    <row r="17" spans="2:8" x14ac:dyDescent="0.25">
      <c r="D17" s="26"/>
      <c r="E17" s="39"/>
      <c r="F17" t="s">
        <v>41</v>
      </c>
      <c r="G17" t="s">
        <v>53</v>
      </c>
      <c r="H17" s="26">
        <v>44725.2</v>
      </c>
    </row>
    <row r="18" spans="2:8" x14ac:dyDescent="0.25">
      <c r="D18" s="26"/>
      <c r="E18" s="33"/>
      <c r="F18" t="s">
        <v>41</v>
      </c>
      <c r="G18" t="s">
        <v>48</v>
      </c>
      <c r="H18" s="26">
        <f>6589+10980+8876+8235</f>
        <v>34680</v>
      </c>
    </row>
    <row r="19" spans="2:8" x14ac:dyDescent="0.25">
      <c r="B19" t="s">
        <v>54</v>
      </c>
      <c r="C19" t="s">
        <v>38</v>
      </c>
      <c r="D19" s="26">
        <v>4270</v>
      </c>
      <c r="E19" s="33"/>
      <c r="F19" t="s">
        <v>41</v>
      </c>
      <c r="G19" t="s">
        <v>49</v>
      </c>
      <c r="H19" s="26">
        <v>328223</v>
      </c>
    </row>
    <row r="20" spans="2:8" x14ac:dyDescent="0.25">
      <c r="B20" t="s">
        <v>54</v>
      </c>
      <c r="C20" t="s">
        <v>40</v>
      </c>
      <c r="D20" s="26">
        <f>27792+4904.4</f>
        <v>32696.400000000001</v>
      </c>
      <c r="E20" s="39"/>
      <c r="F20" t="s">
        <v>41</v>
      </c>
      <c r="G20" t="s">
        <v>45</v>
      </c>
      <c r="H20" s="26">
        <f>18788+21716</f>
        <v>40504</v>
      </c>
    </row>
    <row r="21" spans="2:8" x14ac:dyDescent="0.25">
      <c r="B21" t="s">
        <v>54</v>
      </c>
      <c r="C21" t="s">
        <v>55</v>
      </c>
      <c r="D21" s="26">
        <f>3477+234</f>
        <v>3711</v>
      </c>
      <c r="F21" t="s">
        <v>54</v>
      </c>
      <c r="G21" t="s">
        <v>49</v>
      </c>
      <c r="H21" s="26">
        <v>275597</v>
      </c>
    </row>
    <row r="22" spans="2:8" x14ac:dyDescent="0.25">
      <c r="B22" t="s">
        <v>54</v>
      </c>
      <c r="C22" t="s">
        <v>39</v>
      </c>
      <c r="D22" s="26">
        <v>428.88</v>
      </c>
      <c r="F22" t="s">
        <v>54</v>
      </c>
      <c r="G22" t="s">
        <v>45</v>
      </c>
      <c r="H22" s="26">
        <v>24204</v>
      </c>
    </row>
    <row r="23" spans="2:8" x14ac:dyDescent="0.25">
      <c r="D23" s="26"/>
      <c r="F23" t="s">
        <v>54</v>
      </c>
      <c r="G23" t="s">
        <v>48</v>
      </c>
      <c r="H23" s="26">
        <v>11834</v>
      </c>
    </row>
    <row r="24" spans="2:8" x14ac:dyDescent="0.25">
      <c r="D24" s="26"/>
      <c r="F24" t="s">
        <v>54</v>
      </c>
      <c r="G24" t="s">
        <v>53</v>
      </c>
      <c r="H24" s="26">
        <f>59635-11927</f>
        <v>47708</v>
      </c>
    </row>
    <row r="25" spans="2:8" x14ac:dyDescent="0.25">
      <c r="B25" t="s">
        <v>31</v>
      </c>
      <c r="C25" t="s">
        <v>56</v>
      </c>
      <c r="D25" s="26">
        <f>8880.9+13149</f>
        <v>22029.9</v>
      </c>
      <c r="F25" t="s">
        <v>31</v>
      </c>
      <c r="G25" t="s">
        <v>48</v>
      </c>
      <c r="H25" s="26">
        <f>9638+12078</f>
        <v>21716</v>
      </c>
    </row>
    <row r="26" spans="2:8" x14ac:dyDescent="0.25">
      <c r="B26" t="s">
        <v>31</v>
      </c>
      <c r="C26" t="s">
        <v>60</v>
      </c>
      <c r="D26" s="26">
        <v>387.37</v>
      </c>
      <c r="F26" t="s">
        <v>31</v>
      </c>
      <c r="G26" t="s">
        <v>49</v>
      </c>
      <c r="H26" s="26">
        <v>238171</v>
      </c>
    </row>
    <row r="27" spans="2:8" x14ac:dyDescent="0.25">
      <c r="D27" s="26"/>
      <c r="F27" t="s">
        <v>31</v>
      </c>
      <c r="G27" t="s">
        <v>53</v>
      </c>
      <c r="H27" s="26">
        <v>59635.16</v>
      </c>
    </row>
    <row r="28" spans="2:8" x14ac:dyDescent="0.25">
      <c r="B28" t="s">
        <v>32</v>
      </c>
      <c r="C28" t="s">
        <v>56</v>
      </c>
      <c r="D28" s="26">
        <f>8148+13099+12724+3091</f>
        <v>37062</v>
      </c>
      <c r="F28" t="s">
        <v>31</v>
      </c>
      <c r="G28" t="s">
        <v>45</v>
      </c>
      <c r="H28" s="26">
        <v>31720</v>
      </c>
    </row>
    <row r="29" spans="2:8" x14ac:dyDescent="0.25">
      <c r="B29" t="s">
        <v>32</v>
      </c>
      <c r="C29" t="s">
        <v>40</v>
      </c>
      <c r="D29" s="26">
        <v>35966</v>
      </c>
      <c r="F29" t="s">
        <v>32</v>
      </c>
      <c r="G29" t="s">
        <v>48</v>
      </c>
      <c r="H29" s="26">
        <f>22170+10980</f>
        <v>33150</v>
      </c>
    </row>
    <row r="30" spans="2:8" x14ac:dyDescent="0.25">
      <c r="B30" t="s">
        <v>32</v>
      </c>
      <c r="C30" t="s">
        <v>55</v>
      </c>
      <c r="D30" s="26">
        <v>3547</v>
      </c>
      <c r="F30" t="s">
        <v>32</v>
      </c>
      <c r="G30" t="s">
        <v>53</v>
      </c>
      <c r="H30" s="26">
        <v>23002</v>
      </c>
    </row>
    <row r="31" spans="2:8" x14ac:dyDescent="0.25">
      <c r="B31" t="s">
        <v>32</v>
      </c>
      <c r="C31" t="s">
        <v>71</v>
      </c>
      <c r="D31" s="26">
        <v>12810</v>
      </c>
      <c r="F31" t="s">
        <v>32</v>
      </c>
      <c r="G31" t="s">
        <v>45</v>
      </c>
      <c r="H31" s="26">
        <v>24400</v>
      </c>
    </row>
    <row r="32" spans="2:8" x14ac:dyDescent="0.25">
      <c r="B32" t="s">
        <v>32</v>
      </c>
      <c r="C32" t="s">
        <v>58</v>
      </c>
      <c r="D32" s="26">
        <v>1367.6</v>
      </c>
      <c r="F32" t="s">
        <v>32</v>
      </c>
      <c r="G32" t="s">
        <v>49</v>
      </c>
      <c r="H32" s="26">
        <v>311633</v>
      </c>
    </row>
    <row r="33" spans="2:8" x14ac:dyDescent="0.25">
      <c r="B33" t="s">
        <v>32</v>
      </c>
      <c r="C33" t="s">
        <v>60</v>
      </c>
      <c r="D33" s="26">
        <v>290.52999999999997</v>
      </c>
      <c r="F33" t="s">
        <v>32</v>
      </c>
      <c r="G33" t="s">
        <v>69</v>
      </c>
      <c r="H33" s="26">
        <v>4300</v>
      </c>
    </row>
    <row r="34" spans="2:8" x14ac:dyDescent="0.25">
      <c r="D34" s="26"/>
      <c r="H34" s="26"/>
    </row>
    <row r="35" spans="2:8" x14ac:dyDescent="0.25">
      <c r="B35" t="s">
        <v>59</v>
      </c>
      <c r="C35" t="s">
        <v>58</v>
      </c>
      <c r="D35" s="26">
        <v>2697.64</v>
      </c>
      <c r="F35" t="s">
        <v>59</v>
      </c>
      <c r="G35" t="s">
        <v>48</v>
      </c>
      <c r="H35" s="26">
        <v>12407</v>
      </c>
    </row>
    <row r="36" spans="2:8" x14ac:dyDescent="0.25">
      <c r="B36" t="s">
        <v>59</v>
      </c>
      <c r="C36" t="s">
        <v>56</v>
      </c>
      <c r="D36" s="26">
        <f>4355.82+12167.1+4249.26+10399.56+3603.31</f>
        <v>34775.049999999996</v>
      </c>
      <c r="F36" t="s">
        <v>59</v>
      </c>
      <c r="G36" t="s">
        <v>53</v>
      </c>
      <c r="H36" s="26">
        <v>23000</v>
      </c>
    </row>
    <row r="37" spans="2:8" x14ac:dyDescent="0.25">
      <c r="B37" t="s">
        <v>59</v>
      </c>
      <c r="C37" t="s">
        <v>62</v>
      </c>
      <c r="D37" s="26">
        <v>305.73</v>
      </c>
      <c r="F37" t="s">
        <v>59</v>
      </c>
      <c r="G37" t="s">
        <v>61</v>
      </c>
      <c r="H37" s="26">
        <v>4880</v>
      </c>
    </row>
    <row r="38" spans="2:8" x14ac:dyDescent="0.25">
      <c r="B38" t="s">
        <v>59</v>
      </c>
      <c r="C38" t="s">
        <v>40</v>
      </c>
      <c r="D38" s="26">
        <v>40420</v>
      </c>
      <c r="F38" t="s">
        <v>59</v>
      </c>
      <c r="G38" t="s">
        <v>49</v>
      </c>
      <c r="H38" s="26">
        <v>549671</v>
      </c>
    </row>
    <row r="39" spans="2:8" x14ac:dyDescent="0.25">
      <c r="B39" t="s">
        <v>63</v>
      </c>
      <c r="C39" t="s">
        <v>58</v>
      </c>
      <c r="D39" s="26">
        <v>6858</v>
      </c>
      <c r="F39" t="s">
        <v>59</v>
      </c>
      <c r="G39" t="s">
        <v>69</v>
      </c>
      <c r="H39" s="26">
        <f>5160+1700</f>
        <v>6860</v>
      </c>
    </row>
    <row r="40" spans="2:8" x14ac:dyDescent="0.25">
      <c r="B40" t="s">
        <v>63</v>
      </c>
      <c r="C40" t="s">
        <v>56</v>
      </c>
      <c r="D40" s="26">
        <v>65210</v>
      </c>
      <c r="F40" t="s">
        <v>59</v>
      </c>
      <c r="G40" t="s">
        <v>72</v>
      </c>
      <c r="H40" s="26">
        <v>150637</v>
      </c>
    </row>
    <row r="41" spans="2:8" x14ac:dyDescent="0.25">
      <c r="B41" t="s">
        <v>63</v>
      </c>
      <c r="C41" s="45" t="s">
        <v>100</v>
      </c>
      <c r="D41" s="46">
        <f>24379+42061</f>
        <v>66440</v>
      </c>
      <c r="H41" s="26"/>
    </row>
    <row r="42" spans="2:8" x14ac:dyDescent="0.25">
      <c r="B42" t="s">
        <v>63</v>
      </c>
      <c r="C42" s="45" t="s">
        <v>101</v>
      </c>
      <c r="D42" s="46">
        <v>635</v>
      </c>
      <c r="F42" t="s">
        <v>63</v>
      </c>
      <c r="G42" t="s">
        <v>94</v>
      </c>
      <c r="H42" s="26">
        <v>5100</v>
      </c>
    </row>
    <row r="43" spans="2:8" x14ac:dyDescent="0.25">
      <c r="B43" t="s">
        <v>64</v>
      </c>
      <c r="C43" s="45" t="s">
        <v>92</v>
      </c>
      <c r="D43" s="46">
        <f>4331+4392</f>
        <v>8723</v>
      </c>
      <c r="F43" t="s">
        <v>63</v>
      </c>
      <c r="G43" t="s">
        <v>48</v>
      </c>
      <c r="H43" s="26">
        <v>5764.5</v>
      </c>
    </row>
    <row r="44" spans="2:8" x14ac:dyDescent="0.25">
      <c r="B44" t="s">
        <v>64</v>
      </c>
      <c r="C44" s="45" t="s">
        <v>93</v>
      </c>
      <c r="D44" s="46">
        <f>35590</f>
        <v>35590</v>
      </c>
      <c r="F44" t="s">
        <v>63</v>
      </c>
      <c r="G44" t="s">
        <v>98</v>
      </c>
      <c r="H44" s="26">
        <v>722243</v>
      </c>
    </row>
    <row r="45" spans="2:8" x14ac:dyDescent="0.25">
      <c r="B45" t="s">
        <v>64</v>
      </c>
      <c r="C45" s="45" t="s">
        <v>108</v>
      </c>
      <c r="D45" s="46">
        <f>1087</f>
        <v>1087</v>
      </c>
      <c r="F45" t="s">
        <v>63</v>
      </c>
      <c r="G45" t="s">
        <v>61</v>
      </c>
      <c r="H45" s="26">
        <f>4880+4880</f>
        <v>9760</v>
      </c>
    </row>
    <row r="46" spans="2:8" x14ac:dyDescent="0.25">
      <c r="B46" t="s">
        <v>64</v>
      </c>
      <c r="C46" s="45" t="s">
        <v>56</v>
      </c>
      <c r="D46" s="46">
        <v>43170</v>
      </c>
      <c r="F46" t="s">
        <v>64</v>
      </c>
      <c r="G46" t="s">
        <v>48</v>
      </c>
      <c r="H46" s="26">
        <f>16284+10980</f>
        <v>27264</v>
      </c>
    </row>
    <row r="47" spans="2:8" x14ac:dyDescent="0.25">
      <c r="C47" s="45"/>
      <c r="D47" s="46"/>
      <c r="F47" t="s">
        <v>64</v>
      </c>
      <c r="G47" t="s">
        <v>94</v>
      </c>
      <c r="H47" s="26">
        <f>3740+510</f>
        <v>4250</v>
      </c>
    </row>
    <row r="48" spans="2:8" x14ac:dyDescent="0.25">
      <c r="B48" t="s">
        <v>65</v>
      </c>
      <c r="C48" s="45" t="s">
        <v>93</v>
      </c>
      <c r="D48" s="46">
        <f>35590+1618</f>
        <v>37208</v>
      </c>
      <c r="F48" t="s">
        <v>64</v>
      </c>
      <c r="G48" t="s">
        <v>49</v>
      </c>
      <c r="H48" s="26">
        <v>622568</v>
      </c>
    </row>
    <row r="49" spans="2:12" x14ac:dyDescent="0.25">
      <c r="B49" t="s">
        <v>65</v>
      </c>
      <c r="C49" s="45" t="s">
        <v>101</v>
      </c>
      <c r="D49" s="46">
        <v>758</v>
      </c>
      <c r="H49" s="26"/>
    </row>
    <row r="50" spans="2:12" x14ac:dyDescent="0.25">
      <c r="B50" t="s">
        <v>65</v>
      </c>
      <c r="C50" s="45" t="s">
        <v>109</v>
      </c>
      <c r="D50" s="46">
        <v>9145</v>
      </c>
      <c r="F50" t="s">
        <v>65</v>
      </c>
      <c r="G50" t="s">
        <v>69</v>
      </c>
      <c r="H50" s="26">
        <f>8500+4250</f>
        <v>12750</v>
      </c>
    </row>
    <row r="51" spans="2:12" x14ac:dyDescent="0.25">
      <c r="B51" t="s">
        <v>65</v>
      </c>
      <c r="C51" s="45" t="s">
        <v>56</v>
      </c>
      <c r="D51" s="46">
        <v>76559</v>
      </c>
      <c r="J51" t="s">
        <v>65</v>
      </c>
      <c r="K51" t="s">
        <v>107</v>
      </c>
      <c r="L51" s="26">
        <v>24500</v>
      </c>
    </row>
    <row r="52" spans="2:12" x14ac:dyDescent="0.25">
      <c r="B52" t="s">
        <v>65</v>
      </c>
      <c r="C52" s="45" t="s">
        <v>92</v>
      </c>
      <c r="D52" s="46">
        <f>2165+12810</f>
        <v>14975</v>
      </c>
      <c r="F52" t="s">
        <v>103</v>
      </c>
      <c r="G52" t="s">
        <v>48</v>
      </c>
      <c r="H52" s="26">
        <f>14596+10493</f>
        <v>25089</v>
      </c>
    </row>
    <row r="53" spans="2:12" x14ac:dyDescent="0.25">
      <c r="C53" s="45"/>
      <c r="D53" s="46"/>
      <c r="F53" t="s">
        <v>103</v>
      </c>
      <c r="G53" t="s">
        <v>110</v>
      </c>
      <c r="H53" s="26">
        <v>972393</v>
      </c>
    </row>
    <row r="54" spans="2:12" x14ac:dyDescent="0.25">
      <c r="C54" s="45"/>
      <c r="D54" s="46"/>
      <c r="H54" s="26"/>
    </row>
    <row r="55" spans="2:12" x14ac:dyDescent="0.25">
      <c r="B55" t="s">
        <v>111</v>
      </c>
      <c r="C55" s="45" t="s">
        <v>109</v>
      </c>
      <c r="D55" s="46">
        <v>10425</v>
      </c>
      <c r="F55" t="s">
        <v>111</v>
      </c>
      <c r="G55" t="s">
        <v>94</v>
      </c>
      <c r="H55" s="26">
        <f>8500+8500</f>
        <v>17000</v>
      </c>
    </row>
    <row r="56" spans="2:12" x14ac:dyDescent="0.25">
      <c r="B56" t="s">
        <v>111</v>
      </c>
      <c r="C56" s="45" t="s">
        <v>112</v>
      </c>
      <c r="D56" s="46">
        <v>56323</v>
      </c>
      <c r="F56" t="s">
        <v>111</v>
      </c>
      <c r="G56" t="s">
        <v>115</v>
      </c>
      <c r="H56" s="26">
        <f>4962+15840</f>
        <v>20802</v>
      </c>
    </row>
    <row r="57" spans="2:12" x14ac:dyDescent="0.25">
      <c r="B57" t="s">
        <v>111</v>
      </c>
      <c r="C57" s="45" t="s">
        <v>114</v>
      </c>
      <c r="D57" s="46">
        <v>110</v>
      </c>
      <c r="J57" t="s">
        <v>111</v>
      </c>
      <c r="K57" t="s">
        <v>117</v>
      </c>
      <c r="L57" s="26">
        <v>19900</v>
      </c>
    </row>
    <row r="58" spans="2:12" x14ac:dyDescent="0.25">
      <c r="B58" t="s">
        <v>111</v>
      </c>
      <c r="C58" s="45" t="s">
        <v>116</v>
      </c>
      <c r="D58" s="46">
        <v>294</v>
      </c>
      <c r="F58" t="s">
        <v>111</v>
      </c>
      <c r="G58" t="s">
        <v>110</v>
      </c>
      <c r="H58" s="26">
        <v>1270640</v>
      </c>
    </row>
    <row r="59" spans="2:12" x14ac:dyDescent="0.25">
      <c r="B59" t="s">
        <v>111</v>
      </c>
      <c r="C59" s="45" t="s">
        <v>93</v>
      </c>
      <c r="D59" s="46">
        <f>42061+38825</f>
        <v>80886</v>
      </c>
      <c r="F59" t="s">
        <v>113</v>
      </c>
      <c r="G59" t="s">
        <v>94</v>
      </c>
      <c r="H59" s="26">
        <v>8500</v>
      </c>
    </row>
    <row r="60" spans="2:12" x14ac:dyDescent="0.25">
      <c r="B60" t="s">
        <v>111</v>
      </c>
      <c r="C60" s="45" t="s">
        <v>101</v>
      </c>
      <c r="D60" s="46">
        <f>365+191</f>
        <v>556</v>
      </c>
      <c r="F60" t="s">
        <v>113</v>
      </c>
      <c r="G60" t="s">
        <v>110</v>
      </c>
      <c r="H60" s="26">
        <v>1306093</v>
      </c>
    </row>
    <row r="61" spans="2:12" x14ac:dyDescent="0.25">
      <c r="B61" t="s">
        <v>111</v>
      </c>
      <c r="C61" s="45" t="s">
        <v>92</v>
      </c>
      <c r="D61" s="46">
        <v>12810</v>
      </c>
      <c r="F61" t="s">
        <v>129</v>
      </c>
      <c r="G61" t="s">
        <v>135</v>
      </c>
      <c r="H61" s="26">
        <v>14616</v>
      </c>
    </row>
    <row r="62" spans="2:12" x14ac:dyDescent="0.25">
      <c r="B62" t="s">
        <v>113</v>
      </c>
      <c r="C62" s="45" t="s">
        <v>109</v>
      </c>
      <c r="D62" s="46">
        <v>9417.83</v>
      </c>
      <c r="F62" t="s">
        <v>129</v>
      </c>
      <c r="G62" t="s">
        <v>94</v>
      </c>
      <c r="H62" s="26">
        <f>6900*2</f>
        <v>13800</v>
      </c>
    </row>
    <row r="63" spans="2:12" x14ac:dyDescent="0.25">
      <c r="B63" t="s">
        <v>113</v>
      </c>
      <c r="C63" s="45" t="s">
        <v>112</v>
      </c>
      <c r="D63" s="46">
        <v>56082.07</v>
      </c>
      <c r="F63" t="s">
        <v>129</v>
      </c>
      <c r="G63" t="s">
        <v>110</v>
      </c>
      <c r="H63" s="26">
        <v>1234564</v>
      </c>
    </row>
    <row r="64" spans="2:12" x14ac:dyDescent="0.25">
      <c r="B64" t="s">
        <v>113</v>
      </c>
      <c r="C64" s="45" t="s">
        <v>66</v>
      </c>
      <c r="D64" s="46">
        <v>1098</v>
      </c>
      <c r="F64" t="s">
        <v>130</v>
      </c>
      <c r="G64" t="s">
        <v>94</v>
      </c>
      <c r="H64" s="26">
        <f>6900+390</f>
        <v>7290</v>
      </c>
    </row>
    <row r="65" spans="2:12" x14ac:dyDescent="0.25">
      <c r="B65" t="s">
        <v>113</v>
      </c>
      <c r="C65" s="45" t="s">
        <v>93</v>
      </c>
      <c r="D65" s="46">
        <v>38825</v>
      </c>
      <c r="F65" t="s">
        <v>130</v>
      </c>
      <c r="G65" t="s">
        <v>110</v>
      </c>
      <c r="H65" s="26">
        <f>459898+589652</f>
        <v>1049550</v>
      </c>
    </row>
    <row r="66" spans="2:12" x14ac:dyDescent="0.25">
      <c r="B66" t="s">
        <v>113</v>
      </c>
      <c r="C66" s="45" t="s">
        <v>101</v>
      </c>
      <c r="D66" s="46">
        <v>223</v>
      </c>
      <c r="J66" t="s">
        <v>130</v>
      </c>
      <c r="K66" t="s">
        <v>117</v>
      </c>
      <c r="L66" s="26">
        <f>4500+14610+160</f>
        <v>19270</v>
      </c>
    </row>
    <row r="67" spans="2:12" x14ac:dyDescent="0.25">
      <c r="B67" t="s">
        <v>129</v>
      </c>
      <c r="C67" s="45" t="s">
        <v>112</v>
      </c>
      <c r="D67" s="46">
        <v>40400</v>
      </c>
      <c r="F67" t="s">
        <v>139</v>
      </c>
      <c r="G67" t="s">
        <v>135</v>
      </c>
      <c r="H67" s="26">
        <v>19927.400000000001</v>
      </c>
    </row>
    <row r="68" spans="2:12" x14ac:dyDescent="0.25">
      <c r="B68" t="s">
        <v>129</v>
      </c>
      <c r="C68" s="45" t="s">
        <v>109</v>
      </c>
      <c r="D68" s="46">
        <v>8589</v>
      </c>
      <c r="F68" t="s">
        <v>139</v>
      </c>
      <c r="G68" t="s">
        <v>94</v>
      </c>
      <c r="H68" s="26">
        <v>6900</v>
      </c>
    </row>
    <row r="69" spans="2:12" x14ac:dyDescent="0.25">
      <c r="C69" s="45"/>
      <c r="D69" s="46"/>
      <c r="F69" t="s">
        <v>139</v>
      </c>
      <c r="G69" t="s">
        <v>110</v>
      </c>
      <c r="H69" s="26">
        <f>503930+710764</f>
        <v>1214694</v>
      </c>
    </row>
    <row r="70" spans="2:12" x14ac:dyDescent="0.25">
      <c r="B70" t="s">
        <v>129</v>
      </c>
      <c r="C70" s="45" t="s">
        <v>66</v>
      </c>
      <c r="D70" s="46">
        <v>1098</v>
      </c>
      <c r="F70" t="s">
        <v>67</v>
      </c>
      <c r="G70" t="s">
        <v>94</v>
      </c>
      <c r="H70" s="26">
        <v>6900</v>
      </c>
    </row>
    <row r="71" spans="2:12" x14ac:dyDescent="0.25">
      <c r="C71" s="45"/>
      <c r="D71" s="46"/>
      <c r="F71" t="s">
        <v>67</v>
      </c>
      <c r="G71" t="s">
        <v>110</v>
      </c>
      <c r="H71" s="87">
        <f>+'[1]HORMIGON A Y B+HERREROS'!$D$19+'[1]HORMIGON A Y B+HERREROS'!$D$29+[1]JORNALEROS!$D$19</f>
        <v>1595997</v>
      </c>
    </row>
    <row r="72" spans="2:12" x14ac:dyDescent="0.25">
      <c r="B72" t="s">
        <v>130</v>
      </c>
      <c r="C72" s="45" t="s">
        <v>101</v>
      </c>
      <c r="D72" s="46">
        <f>27+929+451</f>
        <v>1407</v>
      </c>
      <c r="F72" t="s">
        <v>143</v>
      </c>
      <c r="G72" t="s">
        <v>135</v>
      </c>
      <c r="H72" s="26">
        <f>14741+11468</f>
        <v>26209</v>
      </c>
    </row>
    <row r="73" spans="2:12" x14ac:dyDescent="0.25">
      <c r="B73" t="s">
        <v>130</v>
      </c>
      <c r="C73" s="45" t="s">
        <v>93</v>
      </c>
      <c r="D73" s="46">
        <v>38825</v>
      </c>
      <c r="F73" t="s">
        <v>143</v>
      </c>
      <c r="G73" t="s">
        <v>94</v>
      </c>
      <c r="H73" s="26">
        <v>8500</v>
      </c>
    </row>
    <row r="74" spans="2:12" x14ac:dyDescent="0.25">
      <c r="B74" t="s">
        <v>130</v>
      </c>
      <c r="C74" s="45" t="s">
        <v>109</v>
      </c>
      <c r="D74" s="46">
        <v>8452.9</v>
      </c>
      <c r="F74" t="s">
        <v>143</v>
      </c>
      <c r="G74" t="s">
        <v>110</v>
      </c>
      <c r="H74" s="26">
        <f>+'[1]HORMIGON A Y B+HERREROS'!$E$29+'[1]HORMIGON A Y B+HERREROS'!$E$19+[1]JORNALEROS!$E$19</f>
        <v>2029513</v>
      </c>
    </row>
    <row r="75" spans="2:12" x14ac:dyDescent="0.25">
      <c r="B75" t="s">
        <v>130</v>
      </c>
      <c r="C75" s="45" t="s">
        <v>112</v>
      </c>
      <c r="D75" s="46">
        <f>5491+12032+4773.78+12326.81+9653.54</f>
        <v>44277.13</v>
      </c>
      <c r="F75" t="s">
        <v>70</v>
      </c>
      <c r="G75" t="s">
        <v>159</v>
      </c>
      <c r="H75" s="26">
        <f>10614+2837</f>
        <v>13451</v>
      </c>
    </row>
    <row r="76" spans="2:12" x14ac:dyDescent="0.25">
      <c r="B76" t="s">
        <v>139</v>
      </c>
      <c r="C76" s="45" t="s">
        <v>109</v>
      </c>
      <c r="D76" s="46">
        <v>7698.51</v>
      </c>
      <c r="F76" t="s">
        <v>70</v>
      </c>
      <c r="G76" t="s">
        <v>135</v>
      </c>
      <c r="H76" s="26">
        <v>10980</v>
      </c>
    </row>
    <row r="77" spans="2:12" x14ac:dyDescent="0.25">
      <c r="B77" t="s">
        <v>139</v>
      </c>
      <c r="C77" s="45" t="s">
        <v>112</v>
      </c>
      <c r="D77" s="46">
        <v>41656</v>
      </c>
      <c r="F77" t="s">
        <v>70</v>
      </c>
      <c r="G77" t="s">
        <v>110</v>
      </c>
      <c r="H77" s="87">
        <f>+'[1]HORMIGON A Y B+HERREROS'!$F$29+'[1]HORMIGON A Y B+HERREROS'!$F$19+[1]JORNALEROS!$F$19</f>
        <v>1619879</v>
      </c>
    </row>
    <row r="78" spans="2:12" x14ac:dyDescent="0.25">
      <c r="B78" t="s">
        <v>139</v>
      </c>
      <c r="C78" s="45" t="s">
        <v>93</v>
      </c>
      <c r="D78" s="46">
        <v>39781</v>
      </c>
      <c r="F78" t="s">
        <v>70</v>
      </c>
      <c r="G78" t="s">
        <v>94</v>
      </c>
      <c r="H78" s="26">
        <f>12000+3400</f>
        <v>15400</v>
      </c>
    </row>
    <row r="79" spans="2:12" x14ac:dyDescent="0.25">
      <c r="B79" t="s">
        <v>67</v>
      </c>
      <c r="C79" s="45" t="s">
        <v>109</v>
      </c>
      <c r="D79" s="46">
        <v>3607</v>
      </c>
      <c r="F79" t="s">
        <v>160</v>
      </c>
      <c r="G79" t="s">
        <v>94</v>
      </c>
      <c r="H79" s="26">
        <v>18000</v>
      </c>
    </row>
    <row r="80" spans="2:12" x14ac:dyDescent="0.25">
      <c r="B80" t="s">
        <v>67</v>
      </c>
      <c r="C80" s="45" t="s">
        <v>112</v>
      </c>
      <c r="D80" s="46">
        <v>41925</v>
      </c>
      <c r="J80" t="s">
        <v>102</v>
      </c>
      <c r="K80" t="s">
        <v>117</v>
      </c>
      <c r="L80" s="26">
        <v>56600</v>
      </c>
    </row>
    <row r="81" spans="2:12" x14ac:dyDescent="0.25">
      <c r="B81" t="s">
        <v>67</v>
      </c>
      <c r="C81" s="45" t="s">
        <v>93</v>
      </c>
      <c r="D81" s="46">
        <f>40083+46665</f>
        <v>86748</v>
      </c>
      <c r="F81" t="s">
        <v>160</v>
      </c>
      <c r="G81" t="s">
        <v>110</v>
      </c>
      <c r="H81" s="26">
        <f>+[1]JORNALEROS!$G$19+'[1]HORMIGON A Y B+HERREROS'!$G$29+'[1]HORMIGON A Y B+HERREROS'!$G$19</f>
        <v>1822349</v>
      </c>
    </row>
    <row r="82" spans="2:12" x14ac:dyDescent="0.25">
      <c r="B82" t="s">
        <v>143</v>
      </c>
      <c r="C82" s="45" t="s">
        <v>112</v>
      </c>
      <c r="D82" s="46">
        <v>58868</v>
      </c>
      <c r="F82" t="s">
        <v>102</v>
      </c>
      <c r="G82" t="s">
        <v>110</v>
      </c>
      <c r="H82" s="26">
        <f>+'[1]HORMIGON A Y B+HERREROS'!$H$29+'[1]HORMIGON A Y B+HERREROS'!$H$19+[1]JORNALEROS!$H$19</f>
        <v>1940763</v>
      </c>
    </row>
    <row r="83" spans="2:12" x14ac:dyDescent="0.25">
      <c r="B83" t="s">
        <v>143</v>
      </c>
      <c r="C83" s="45" t="s">
        <v>158</v>
      </c>
      <c r="D83" s="46">
        <v>4453</v>
      </c>
      <c r="F83" t="s">
        <v>102</v>
      </c>
      <c r="G83" t="s">
        <v>94</v>
      </c>
      <c r="H83" s="26">
        <v>18000</v>
      </c>
    </row>
    <row r="84" spans="2:12" x14ac:dyDescent="0.25">
      <c r="B84" t="s">
        <v>143</v>
      </c>
      <c r="C84" s="45" t="s">
        <v>109</v>
      </c>
      <c r="D84" s="46">
        <v>8085</v>
      </c>
      <c r="J84" t="s">
        <v>102</v>
      </c>
      <c r="K84" t="s">
        <v>117</v>
      </c>
      <c r="L84" s="26">
        <v>56600</v>
      </c>
    </row>
    <row r="85" spans="2:12" x14ac:dyDescent="0.25">
      <c r="B85" t="s">
        <v>70</v>
      </c>
      <c r="C85" s="45" t="s">
        <v>109</v>
      </c>
      <c r="D85" s="46">
        <v>7310</v>
      </c>
      <c r="F85" t="s">
        <v>8</v>
      </c>
      <c r="G85" t="s">
        <v>110</v>
      </c>
      <c r="H85" s="26">
        <f>+'[1]HORMIGON A Y B+HERREROS'!$I$29+'[1]HORMIGON A Y B+HERREROS'!$I$19+[1]JORNALEROS!$I$19</f>
        <v>1944701</v>
      </c>
    </row>
    <row r="86" spans="2:12" x14ac:dyDescent="0.25">
      <c r="B86" t="s">
        <v>70</v>
      </c>
      <c r="C86" s="45" t="s">
        <v>112</v>
      </c>
      <c r="D86" s="46">
        <f>6597+10288+12006+800+12006+1406</f>
        <v>43103</v>
      </c>
      <c r="F86" t="s">
        <v>111</v>
      </c>
      <c r="G86" t="s">
        <v>94</v>
      </c>
      <c r="H86" s="26">
        <v>7000</v>
      </c>
    </row>
    <row r="87" spans="2:12" x14ac:dyDescent="0.25">
      <c r="B87" t="s">
        <v>70</v>
      </c>
      <c r="C87" s="45" t="s">
        <v>93</v>
      </c>
      <c r="D87" s="46">
        <v>39494</v>
      </c>
      <c r="F87" t="s">
        <v>130</v>
      </c>
      <c r="G87" t="s">
        <v>117</v>
      </c>
      <c r="H87" s="26"/>
      <c r="J87" t="s">
        <v>130</v>
      </c>
      <c r="K87" t="s">
        <v>117</v>
      </c>
      <c r="L87" s="26">
        <v>108500</v>
      </c>
    </row>
    <row r="88" spans="2:12" x14ac:dyDescent="0.25">
      <c r="B88" t="s">
        <v>160</v>
      </c>
      <c r="C88" s="45" t="s">
        <v>112</v>
      </c>
      <c r="D88" s="46">
        <v>46964</v>
      </c>
      <c r="F88" t="s">
        <v>139</v>
      </c>
      <c r="G88" t="s">
        <v>117</v>
      </c>
      <c r="H88" s="26"/>
      <c r="J88" t="s">
        <v>139</v>
      </c>
      <c r="K88" t="s">
        <v>117</v>
      </c>
      <c r="L88" s="26">
        <v>137600</v>
      </c>
    </row>
    <row r="89" spans="2:12" x14ac:dyDescent="0.25">
      <c r="B89" t="s">
        <v>160</v>
      </c>
      <c r="C89" s="45" t="s">
        <v>66</v>
      </c>
      <c r="D89" s="46">
        <v>1098</v>
      </c>
      <c r="F89" t="s">
        <v>103</v>
      </c>
      <c r="G89" t="s">
        <v>110</v>
      </c>
      <c r="H89" s="26">
        <f>+'[1]HORMIGON A Y B+HERREROS'!$J$29</f>
        <v>1235506</v>
      </c>
    </row>
    <row r="90" spans="2:12" x14ac:dyDescent="0.25">
      <c r="B90" t="s">
        <v>160</v>
      </c>
      <c r="C90" s="45" t="s">
        <v>109</v>
      </c>
      <c r="D90" s="46">
        <v>7785</v>
      </c>
      <c r="F90" t="s">
        <v>111</v>
      </c>
      <c r="G90" t="s">
        <v>110</v>
      </c>
      <c r="H90" s="26">
        <f>+'[1]HORMIGON A Y B+HERREROS'!$K$29</f>
        <v>1094275</v>
      </c>
    </row>
    <row r="91" spans="2:12" x14ac:dyDescent="0.25">
      <c r="B91" t="s">
        <v>160</v>
      </c>
      <c r="C91" s="45" t="s">
        <v>93</v>
      </c>
      <c r="D91" s="46">
        <v>41120</v>
      </c>
      <c r="F91" t="s">
        <v>113</v>
      </c>
      <c r="G91" t="s">
        <v>110</v>
      </c>
      <c r="H91" s="26">
        <f>+'[1]HORMIGON A Y B+HERREROS'!$L$29</f>
        <v>969387</v>
      </c>
    </row>
    <row r="92" spans="2:12" x14ac:dyDescent="0.25">
      <c r="B92" t="s">
        <v>102</v>
      </c>
      <c r="C92" s="45" t="s">
        <v>93</v>
      </c>
      <c r="D92" s="46">
        <v>41188</v>
      </c>
      <c r="F92" t="s">
        <v>129</v>
      </c>
      <c r="G92" t="s">
        <v>110</v>
      </c>
      <c r="H92" s="26">
        <f>+'[1]HORMIGON A Y B+HERREROS'!$M$29</f>
        <v>492880</v>
      </c>
    </row>
    <row r="93" spans="2:12" x14ac:dyDescent="0.25">
      <c r="B93" t="s">
        <v>3</v>
      </c>
      <c r="C93" s="45" t="s">
        <v>109</v>
      </c>
      <c r="D93" s="46">
        <v>7369.81</v>
      </c>
      <c r="F93" t="s">
        <v>130</v>
      </c>
      <c r="G93" t="s">
        <v>110</v>
      </c>
      <c r="H93" s="26">
        <f>+'[1]HORMIGON A Y B+HERREROS'!$N$29</f>
        <v>444669</v>
      </c>
    </row>
    <row r="94" spans="2:12" x14ac:dyDescent="0.25">
      <c r="B94" t="s">
        <v>3</v>
      </c>
      <c r="C94" s="45" t="s">
        <v>66</v>
      </c>
      <c r="D94" s="46">
        <v>488</v>
      </c>
      <c r="F94" t="s">
        <v>139</v>
      </c>
      <c r="G94" t="s">
        <v>110</v>
      </c>
      <c r="H94" s="26">
        <f>+'[1]HORMIGON A Y B+HERREROS'!$O$29</f>
        <v>399948</v>
      </c>
    </row>
    <row r="95" spans="2:12" x14ac:dyDescent="0.25">
      <c r="B95" t="s">
        <v>3</v>
      </c>
      <c r="C95" s="45" t="s">
        <v>167</v>
      </c>
      <c r="D95" s="46">
        <v>41188</v>
      </c>
      <c r="H95" s="26"/>
    </row>
    <row r="96" spans="2:12" x14ac:dyDescent="0.25">
      <c r="B96" t="s">
        <v>8</v>
      </c>
      <c r="C96" s="45" t="s">
        <v>167</v>
      </c>
      <c r="D96" s="46">
        <v>39469</v>
      </c>
      <c r="H96" s="26"/>
    </row>
    <row r="97" spans="2:8" x14ac:dyDescent="0.25">
      <c r="B97" t="s">
        <v>8</v>
      </c>
      <c r="C97" s="45" t="s">
        <v>109</v>
      </c>
      <c r="D97" s="46">
        <v>7812</v>
      </c>
      <c r="H97" s="26"/>
    </row>
    <row r="98" spans="2:8" x14ac:dyDescent="0.25">
      <c r="B98" t="s">
        <v>8</v>
      </c>
      <c r="C98" s="45" t="s">
        <v>66</v>
      </c>
      <c r="D98" s="46">
        <v>1025</v>
      </c>
      <c r="H98" s="26"/>
    </row>
    <row r="99" spans="2:8" x14ac:dyDescent="0.25">
      <c r="B99" t="s">
        <v>8</v>
      </c>
      <c r="C99" s="45" t="s">
        <v>112</v>
      </c>
      <c r="D99" s="46">
        <v>38846</v>
      </c>
      <c r="H99" s="26"/>
    </row>
    <row r="100" spans="2:8" x14ac:dyDescent="0.25">
      <c r="B100" t="s">
        <v>3</v>
      </c>
      <c r="C100" s="45" t="s">
        <v>112</v>
      </c>
      <c r="D100" s="46">
        <v>47422</v>
      </c>
      <c r="H100" s="26"/>
    </row>
    <row r="101" spans="2:8" x14ac:dyDescent="0.25">
      <c r="B101" t="s">
        <v>11</v>
      </c>
      <c r="C101" s="45" t="s">
        <v>109</v>
      </c>
      <c r="D101" s="46">
        <v>6596</v>
      </c>
      <c r="H101" s="26"/>
    </row>
    <row r="102" spans="2:8" x14ac:dyDescent="0.25">
      <c r="B102" t="s">
        <v>11</v>
      </c>
      <c r="C102" s="45" t="s">
        <v>112</v>
      </c>
      <c r="D102" s="46">
        <v>38484</v>
      </c>
      <c r="H102" s="26"/>
    </row>
    <row r="103" spans="2:8" x14ac:dyDescent="0.25">
      <c r="B103" t="s">
        <v>11</v>
      </c>
      <c r="C103" s="45" t="s">
        <v>167</v>
      </c>
      <c r="D103" s="46">
        <v>13398</v>
      </c>
      <c r="H103" s="26"/>
    </row>
    <row r="104" spans="2:8" x14ac:dyDescent="0.25">
      <c r="B104" t="s">
        <v>195</v>
      </c>
      <c r="C104" s="45" t="s">
        <v>112</v>
      </c>
      <c r="D104" s="46">
        <v>9327</v>
      </c>
      <c r="H104" s="26"/>
    </row>
    <row r="105" spans="2:8" x14ac:dyDescent="0.25">
      <c r="B105" t="s">
        <v>196</v>
      </c>
      <c r="C105" s="45" t="s">
        <v>93</v>
      </c>
      <c r="D105" s="46">
        <v>6471</v>
      </c>
      <c r="H105" s="26"/>
    </row>
    <row r="106" spans="2:8" x14ac:dyDescent="0.25">
      <c r="B106" t="s">
        <v>197</v>
      </c>
      <c r="C106" s="45" t="s">
        <v>112</v>
      </c>
      <c r="D106" s="46">
        <v>2768</v>
      </c>
      <c r="H106" s="26"/>
    </row>
    <row r="107" spans="2:8" x14ac:dyDescent="0.25">
      <c r="B107" t="s">
        <v>196</v>
      </c>
      <c r="C107" s="45" t="s">
        <v>112</v>
      </c>
      <c r="D107" s="46">
        <v>30819</v>
      </c>
      <c r="H107" s="26"/>
    </row>
    <row r="108" spans="2:8" x14ac:dyDescent="0.25">
      <c r="B108" t="s">
        <v>195</v>
      </c>
      <c r="C108" s="45" t="s">
        <v>167</v>
      </c>
      <c r="D108" s="46">
        <v>3187</v>
      </c>
      <c r="H108" s="26"/>
    </row>
    <row r="109" spans="2:8" x14ac:dyDescent="0.25">
      <c r="B109" t="s">
        <v>195</v>
      </c>
      <c r="C109" s="45" t="s">
        <v>109</v>
      </c>
      <c r="D109" s="46">
        <v>4451</v>
      </c>
      <c r="H109" s="26"/>
    </row>
    <row r="110" spans="2:8" x14ac:dyDescent="0.25">
      <c r="B110" t="s">
        <v>197</v>
      </c>
      <c r="C110" s="45" t="s">
        <v>109</v>
      </c>
      <c r="D110" s="46">
        <v>600</v>
      </c>
      <c r="H110" s="26"/>
    </row>
    <row r="111" spans="2:8" x14ac:dyDescent="0.25">
      <c r="B111" t="s">
        <v>130</v>
      </c>
      <c r="C111" s="45" t="s">
        <v>109</v>
      </c>
      <c r="D111" s="46">
        <v>317</v>
      </c>
      <c r="H111" s="26"/>
    </row>
    <row r="112" spans="2:8" x14ac:dyDescent="0.25">
      <c r="B112" t="s">
        <v>130</v>
      </c>
      <c r="C112" s="45" t="s">
        <v>167</v>
      </c>
      <c r="D112" s="46">
        <v>1281</v>
      </c>
      <c r="H112" s="26"/>
    </row>
    <row r="113" spans="1:12" x14ac:dyDescent="0.25">
      <c r="B113" t="s">
        <v>139</v>
      </c>
      <c r="C113" s="45" t="s">
        <v>109</v>
      </c>
      <c r="D113" s="46">
        <v>62</v>
      </c>
      <c r="H113" s="26"/>
    </row>
    <row r="114" spans="1:12" x14ac:dyDescent="0.25">
      <c r="B114" t="s">
        <v>139</v>
      </c>
      <c r="C114" s="45" t="s">
        <v>112</v>
      </c>
      <c r="D114" s="46">
        <v>615</v>
      </c>
      <c r="H114" s="26"/>
    </row>
    <row r="115" spans="1:12" x14ac:dyDescent="0.25">
      <c r="C115" s="45"/>
      <c r="D115" s="46"/>
      <c r="H115" s="26"/>
    </row>
    <row r="116" spans="1:12" x14ac:dyDescent="0.25">
      <c r="C116" s="45"/>
      <c r="D116" s="46"/>
    </row>
    <row r="117" spans="1:12" x14ac:dyDescent="0.25">
      <c r="C117" s="41" t="s">
        <v>81</v>
      </c>
      <c r="D117" s="42">
        <f>SUM(D9:D116)</f>
        <v>1855998.71</v>
      </c>
    </row>
    <row r="118" spans="1:12" x14ac:dyDescent="0.25">
      <c r="B118" s="40"/>
      <c r="D118" s="40"/>
      <c r="G118" s="41" t="s">
        <v>80</v>
      </c>
      <c r="H118" s="42">
        <f>SUM(H9:H117)</f>
        <v>27313472.6534</v>
      </c>
    </row>
    <row r="119" spans="1:12" x14ac:dyDescent="0.25">
      <c r="H119" s="26"/>
    </row>
    <row r="120" spans="1:12" ht="15.75" thickBot="1" x14ac:dyDescent="0.3">
      <c r="A120" s="43"/>
      <c r="E120" s="68"/>
    </row>
    <row r="121" spans="1:12" x14ac:dyDescent="0.25">
      <c r="B121" s="43"/>
      <c r="C121" s="43"/>
      <c r="D121" s="43"/>
      <c r="E121" s="44"/>
      <c r="F121" s="119" t="s">
        <v>13</v>
      </c>
      <c r="G121" s="120"/>
      <c r="H121" s="10">
        <f>+D9+D14+D20+D29+D38+D44+D48+D59+D65+D73+D78+D81+D87+D91+D92+D95+D96+D103+D105+D108+D112</f>
        <v>703350.1</v>
      </c>
      <c r="I121" t="s">
        <v>6</v>
      </c>
      <c r="K121" t="s">
        <v>218</v>
      </c>
      <c r="L121" s="109">
        <f>SUM(L8:L120)</f>
        <v>422970</v>
      </c>
    </row>
    <row r="122" spans="1:12" x14ac:dyDescent="0.25">
      <c r="C122" s="43" t="s">
        <v>73</v>
      </c>
      <c r="D122" s="43"/>
      <c r="F122" s="121" t="s">
        <v>15</v>
      </c>
      <c r="G122" s="122"/>
      <c r="H122" s="11">
        <f>+D99+D88+D86+D82+D80+D77+D75+D67+D63+D56+D51+D46+D40+D36+D28+D25+D19+D15+D10+D100+D102+D104+D106+D107+D114</f>
        <v>892343.85</v>
      </c>
      <c r="I122" t="s">
        <v>6</v>
      </c>
      <c r="J122" s="29"/>
    </row>
    <row r="123" spans="1:12" x14ac:dyDescent="0.25">
      <c r="F123" s="27" t="s">
        <v>52</v>
      </c>
      <c r="G123" s="28"/>
      <c r="H123" s="17">
        <f>+H9+H10+H11+H13+H14+H15+H17+H18+H20+H22+H23+H24+H25+H27+H28+H29+H30+H31+H33+H35+H36+H37+H39+H42+H43+H45+H46+H47+H50+H52+H55+H56+H59+H61+H62+H64+H67+H68+H70+H72+H73+H75+H76+H78+H79+H83+H86+H87+H88</f>
        <v>921908.65340000007</v>
      </c>
      <c r="I123" s="29" t="s">
        <v>7</v>
      </c>
    </row>
    <row r="124" spans="1:12" x14ac:dyDescent="0.25">
      <c r="F124" s="121" t="s">
        <v>51</v>
      </c>
      <c r="G124" s="122"/>
      <c r="H124" s="11">
        <f>+D97+D94+D93+D90+D89+D85+D84+D83+D79+D76+D74+D72+D70+D68+D66+D64+D62+D61+D60+D58+D57+D55+D52+D50+D49+D45+D43+D42+D39+D37+D35+D33+D32+D31+D30+D26+D22+D21+D16+D11+D101+D98+D109+D110+D111+D113</f>
        <v>193864.76000000004</v>
      </c>
      <c r="I124" t="s">
        <v>6</v>
      </c>
      <c r="J124" s="29"/>
    </row>
    <row r="125" spans="1:12" ht="15.75" thickBot="1" x14ac:dyDescent="0.3">
      <c r="F125" s="111" t="s">
        <v>17</v>
      </c>
      <c r="G125" s="112"/>
      <c r="H125" s="19">
        <f>+H12+H16+H21+H26+H32+H38+H44+H48+H53+H58+H60+H63+H65+H69+H71+H74+H77+H81+H82+H85</f>
        <v>21276039</v>
      </c>
      <c r="I125" s="29" t="s">
        <v>7</v>
      </c>
    </row>
    <row r="127" spans="1:12" ht="15.75" thickBot="1" x14ac:dyDescent="0.3">
      <c r="J127" s="99"/>
    </row>
    <row r="128" spans="1:12" x14ac:dyDescent="0.25">
      <c r="F128" s="113" t="s">
        <v>50</v>
      </c>
      <c r="G128" s="134"/>
      <c r="H128" s="15">
        <f>+H121+H122+H124</f>
        <v>1789558.71</v>
      </c>
      <c r="I128" s="12" t="s">
        <v>19</v>
      </c>
      <c r="J128" s="99"/>
    </row>
    <row r="129" spans="6:9" ht="15.75" thickBot="1" x14ac:dyDescent="0.3">
      <c r="F129" s="115"/>
      <c r="G129" s="135"/>
      <c r="H129" s="16">
        <f>+H125+H123</f>
        <v>22197947.6534</v>
      </c>
      <c r="I129" s="13" t="s">
        <v>20</v>
      </c>
    </row>
    <row r="130" spans="6:9" x14ac:dyDescent="0.25">
      <c r="F130" s="133"/>
      <c r="G130" s="133"/>
    </row>
  </sheetData>
  <sortState ref="F9:H13">
    <sortCondition ref="F9:F13"/>
  </sortState>
  <mergeCells count="14">
    <mergeCell ref="F130:G130"/>
    <mergeCell ref="F125:G125"/>
    <mergeCell ref="F128:G129"/>
    <mergeCell ref="F7:H7"/>
    <mergeCell ref="B7:D7"/>
    <mergeCell ref="F121:G121"/>
    <mergeCell ref="F124:G124"/>
    <mergeCell ref="F122:G122"/>
    <mergeCell ref="N7:P7"/>
    <mergeCell ref="J7:L7"/>
    <mergeCell ref="D1:F6"/>
    <mergeCell ref="G1:H6"/>
    <mergeCell ref="B1:C6"/>
    <mergeCell ref="E7:E16"/>
  </mergeCells>
  <pageMargins left="0.23622047244094491" right="0.23622047244094491" top="0.74803149606299213" bottom="0.74803149606299213" header="0.31496062992125984" footer="0.31496062992125984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topLeftCell="A61" workbookViewId="0">
      <selection activeCell="A5" sqref="A5:A6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5" max="5" width="11.7109375" bestFit="1" customWidth="1"/>
    <col min="6" max="6" width="16.42578125" bestFit="1" customWidth="1"/>
    <col min="7" max="7" width="14.140625" bestFit="1" customWidth="1"/>
    <col min="10" max="10" width="20.28515625" customWidth="1"/>
    <col min="14" max="14" width="18.140625" bestFit="1" customWidth="1"/>
  </cols>
  <sheetData>
    <row r="1" spans="1:19" ht="18.75" x14ac:dyDescent="0.3">
      <c r="C1" s="137" t="s">
        <v>140</v>
      </c>
      <c r="D1" s="137"/>
      <c r="E1" s="137"/>
      <c r="F1" s="79" t="s">
        <v>145</v>
      </c>
      <c r="G1" s="80">
        <v>24.5</v>
      </c>
      <c r="I1" s="138" t="s">
        <v>150</v>
      </c>
      <c r="J1" s="138"/>
      <c r="K1" s="138"/>
      <c r="L1" s="78"/>
      <c r="M1" s="139" t="s">
        <v>151</v>
      </c>
      <c r="N1" s="139"/>
      <c r="O1" s="139"/>
      <c r="Q1" s="141" t="s">
        <v>201</v>
      </c>
      <c r="R1" s="141"/>
      <c r="S1" s="141"/>
    </row>
    <row r="3" spans="1:19" x14ac:dyDescent="0.25">
      <c r="A3" s="81" t="s">
        <v>118</v>
      </c>
      <c r="B3" s="81" t="s">
        <v>123</v>
      </c>
      <c r="C3" s="81" t="s">
        <v>153</v>
      </c>
      <c r="E3" s="81" t="s">
        <v>118</v>
      </c>
      <c r="F3" s="81" t="s">
        <v>123</v>
      </c>
      <c r="G3" s="81" t="s">
        <v>124</v>
      </c>
      <c r="I3" s="82" t="s">
        <v>118</v>
      </c>
      <c r="J3" s="82" t="s">
        <v>123</v>
      </c>
      <c r="K3" s="82" t="s">
        <v>152</v>
      </c>
      <c r="M3" s="83" t="s">
        <v>118</v>
      </c>
      <c r="N3" s="83" t="s">
        <v>123</v>
      </c>
      <c r="O3" s="83" t="s">
        <v>152</v>
      </c>
      <c r="Q3" s="72" t="s">
        <v>118</v>
      </c>
      <c r="R3" s="72" t="s">
        <v>123</v>
      </c>
      <c r="S3" s="72" t="s">
        <v>152</v>
      </c>
    </row>
    <row r="4" spans="1:19" x14ac:dyDescent="0.25">
      <c r="A4" t="s">
        <v>113</v>
      </c>
      <c r="B4" t="s">
        <v>125</v>
      </c>
      <c r="C4" s="26">
        <f>336834/G1</f>
        <v>13748.326530612245</v>
      </c>
      <c r="E4" t="s">
        <v>25</v>
      </c>
      <c r="F4" t="s">
        <v>12</v>
      </c>
      <c r="G4" s="75">
        <v>179044</v>
      </c>
      <c r="I4" t="s">
        <v>134</v>
      </c>
      <c r="J4" t="s">
        <v>144</v>
      </c>
      <c r="K4" s="26">
        <f>1745</f>
        <v>1745</v>
      </c>
      <c r="N4" t="s">
        <v>147</v>
      </c>
      <c r="O4" s="26">
        <f>274443+199983</f>
        <v>474426</v>
      </c>
      <c r="Q4" t="s">
        <v>202</v>
      </c>
      <c r="R4" t="s">
        <v>203</v>
      </c>
      <c r="S4">
        <v>7667</v>
      </c>
    </row>
    <row r="5" spans="1:19" x14ac:dyDescent="0.25">
      <c r="A5" t="s">
        <v>113</v>
      </c>
      <c r="B5" t="s">
        <v>126</v>
      </c>
      <c r="C5" s="26">
        <f>38400/G1</f>
        <v>1567.3469387755101</v>
      </c>
      <c r="E5" t="s">
        <v>133</v>
      </c>
      <c r="F5" t="s">
        <v>12</v>
      </c>
      <c r="G5" s="75">
        <v>303113</v>
      </c>
      <c r="I5" t="s">
        <v>139</v>
      </c>
      <c r="J5" t="s">
        <v>149</v>
      </c>
      <c r="K5" s="26">
        <v>2433</v>
      </c>
      <c r="N5" t="s">
        <v>221</v>
      </c>
      <c r="O5" s="26">
        <v>10843</v>
      </c>
    </row>
    <row r="6" spans="1:19" x14ac:dyDescent="0.25">
      <c r="A6" t="s">
        <v>113</v>
      </c>
      <c r="B6" t="s">
        <v>127</v>
      </c>
      <c r="C6" s="26">
        <f>6449/G1</f>
        <v>263.22448979591837</v>
      </c>
      <c r="E6" t="s">
        <v>134</v>
      </c>
      <c r="F6" t="s">
        <v>12</v>
      </c>
      <c r="G6" s="75">
        <f>93793+159042</f>
        <v>252835</v>
      </c>
      <c r="I6" t="s">
        <v>3</v>
      </c>
      <c r="J6" t="s">
        <v>177</v>
      </c>
      <c r="K6" s="26">
        <v>30488</v>
      </c>
      <c r="N6" t="s">
        <v>148</v>
      </c>
      <c r="O6" s="26">
        <f>26501+51353</f>
        <v>77854</v>
      </c>
    </row>
    <row r="7" spans="1:19" x14ac:dyDescent="0.25">
      <c r="A7" t="s">
        <v>133</v>
      </c>
      <c r="B7" t="s">
        <v>125</v>
      </c>
      <c r="C7" s="26">
        <f>380403.85/G1</f>
        <v>15526.687755102041</v>
      </c>
      <c r="E7" t="s">
        <v>139</v>
      </c>
      <c r="F7" t="s">
        <v>12</v>
      </c>
      <c r="G7" s="75">
        <f>139242+95921</f>
        <v>235163</v>
      </c>
      <c r="I7" t="s">
        <v>70</v>
      </c>
      <c r="J7" t="s">
        <v>161</v>
      </c>
      <c r="K7" s="26">
        <f>45445+14004</f>
        <v>59449</v>
      </c>
      <c r="O7" s="26"/>
    </row>
    <row r="8" spans="1:19" x14ac:dyDescent="0.25">
      <c r="A8" t="s">
        <v>133</v>
      </c>
      <c r="B8" t="s">
        <v>126</v>
      </c>
      <c r="C8" s="26">
        <f>51200/G1</f>
        <v>2089.795918367347</v>
      </c>
      <c r="E8" t="s">
        <v>67</v>
      </c>
      <c r="F8" t="s">
        <v>12</v>
      </c>
      <c r="G8" s="86">
        <f>+'[1]CUADRILLA 1, 2 Y 3 + REVESTIDOR'!$C$47</f>
        <v>296460</v>
      </c>
      <c r="I8" t="s">
        <v>102</v>
      </c>
      <c r="J8" t="s">
        <v>164</v>
      </c>
      <c r="K8" s="26">
        <v>39743</v>
      </c>
      <c r="O8" s="26"/>
    </row>
    <row r="9" spans="1:19" x14ac:dyDescent="0.25">
      <c r="A9" t="s">
        <v>133</v>
      </c>
      <c r="B9" t="s">
        <v>136</v>
      </c>
      <c r="C9" s="26">
        <f>18300/G1</f>
        <v>746.9387755102041</v>
      </c>
      <c r="E9" t="s">
        <v>143</v>
      </c>
      <c r="F9" t="s">
        <v>12</v>
      </c>
      <c r="G9" s="75">
        <f>+'[1]CUADRILLA 1, 2 Y 3 + REVESTIDOR'!$D$47</f>
        <v>541163</v>
      </c>
      <c r="I9" t="s">
        <v>8</v>
      </c>
      <c r="J9" t="s">
        <v>176</v>
      </c>
      <c r="K9" s="26">
        <v>16471</v>
      </c>
      <c r="O9" s="26"/>
    </row>
    <row r="10" spans="1:19" x14ac:dyDescent="0.25">
      <c r="A10" t="s">
        <v>133</v>
      </c>
      <c r="B10" t="s">
        <v>127</v>
      </c>
      <c r="C10" s="26">
        <f>5053/G1</f>
        <v>206.24489795918367</v>
      </c>
      <c r="E10" t="s">
        <v>70</v>
      </c>
      <c r="F10" t="s">
        <v>12</v>
      </c>
      <c r="G10" s="86">
        <f>+'[1]CUADRILLA 1, 2 Y 3 + REVESTIDOR'!$E$47</f>
        <v>614574</v>
      </c>
      <c r="I10" t="s">
        <v>8</v>
      </c>
      <c r="J10" t="s">
        <v>175</v>
      </c>
      <c r="K10" s="26">
        <v>54531</v>
      </c>
      <c r="O10" s="26"/>
    </row>
    <row r="11" spans="1:19" x14ac:dyDescent="0.25">
      <c r="A11" t="s">
        <v>134</v>
      </c>
      <c r="B11" t="s">
        <v>127</v>
      </c>
      <c r="C11" s="26">
        <f>2231.24/G1</f>
        <v>91.07102040816325</v>
      </c>
      <c r="E11" t="s">
        <v>160</v>
      </c>
      <c r="F11" t="s">
        <v>12</v>
      </c>
      <c r="G11" s="86">
        <f>+'[1]CUADRILLA 1, 2 Y 3 + REVESTIDOR'!$F$47</f>
        <v>634398</v>
      </c>
      <c r="I11" t="s">
        <v>8</v>
      </c>
      <c r="J11" t="s">
        <v>170</v>
      </c>
      <c r="K11" s="26">
        <v>5851</v>
      </c>
      <c r="O11" s="26"/>
    </row>
    <row r="12" spans="1:19" x14ac:dyDescent="0.25">
      <c r="A12" t="s">
        <v>134</v>
      </c>
      <c r="B12" t="s">
        <v>125</v>
      </c>
      <c r="C12" s="26">
        <f>736967.87/G1</f>
        <v>30080.321224489795</v>
      </c>
      <c r="E12" t="s">
        <v>3</v>
      </c>
      <c r="F12" t="s">
        <v>12</v>
      </c>
      <c r="G12" s="86">
        <f>+'[1]CUADRILLA 1, 2 Y 3 + REVESTIDOR'!$G$47</f>
        <v>839998</v>
      </c>
      <c r="I12" t="s">
        <v>11</v>
      </c>
      <c r="J12" t="s">
        <v>172</v>
      </c>
      <c r="K12" s="26">
        <v>58139</v>
      </c>
      <c r="O12" s="26"/>
    </row>
    <row r="13" spans="1:19" x14ac:dyDescent="0.25">
      <c r="A13" t="s">
        <v>134</v>
      </c>
      <c r="B13" t="s">
        <v>136</v>
      </c>
      <c r="C13" s="26">
        <f>20679/G1</f>
        <v>844.0408163265306</v>
      </c>
      <c r="E13" t="s">
        <v>8</v>
      </c>
      <c r="F13" t="s">
        <v>12</v>
      </c>
      <c r="G13" s="86">
        <f>+'[1]CUADRILLA 1, 2 Y 3 + REVESTIDOR'!$H$47</f>
        <v>1098018</v>
      </c>
      <c r="I13" t="s">
        <v>11</v>
      </c>
      <c r="J13" t="s">
        <v>170</v>
      </c>
      <c r="K13" s="26">
        <f>48934/29</f>
        <v>1687.3793103448277</v>
      </c>
      <c r="O13" s="26"/>
    </row>
    <row r="14" spans="1:19" x14ac:dyDescent="0.25">
      <c r="A14" t="s">
        <v>139</v>
      </c>
      <c r="B14" t="s">
        <v>126</v>
      </c>
      <c r="C14" s="26">
        <f>45675/G1</f>
        <v>1864.2857142857142</v>
      </c>
      <c r="E14" t="s">
        <v>11</v>
      </c>
      <c r="F14" t="s">
        <v>12</v>
      </c>
      <c r="G14" s="75">
        <f>+'[1]CUADRILLA 1, 2 Y 3 + REVESTIDOR'!$I$47</f>
        <v>1105359</v>
      </c>
      <c r="I14" t="s">
        <v>11</v>
      </c>
      <c r="J14" t="s">
        <v>174</v>
      </c>
      <c r="K14" s="26">
        <v>41739</v>
      </c>
      <c r="O14" s="26"/>
    </row>
    <row r="15" spans="1:19" x14ac:dyDescent="0.25">
      <c r="A15" t="s">
        <v>139</v>
      </c>
      <c r="B15" t="s">
        <v>136</v>
      </c>
      <c r="C15" s="26">
        <f>28182/G1</f>
        <v>1150.2857142857142</v>
      </c>
      <c r="E15" t="s">
        <v>23</v>
      </c>
      <c r="F15" t="s">
        <v>12</v>
      </c>
      <c r="G15" s="75">
        <f>+'[1]CUADRILLA 1, 2 Y 3 + REVESTIDOR'!$J$47</f>
        <v>1015952</v>
      </c>
      <c r="I15" t="s">
        <v>11</v>
      </c>
      <c r="J15" t="s">
        <v>189</v>
      </c>
      <c r="K15" s="26">
        <v>23092</v>
      </c>
      <c r="O15" s="26"/>
    </row>
    <row r="16" spans="1:19" x14ac:dyDescent="0.25">
      <c r="A16" t="s">
        <v>67</v>
      </c>
      <c r="B16" t="s">
        <v>136</v>
      </c>
      <c r="C16" s="26">
        <f>25778/G1</f>
        <v>1052.1632653061224</v>
      </c>
      <c r="E16" t="s">
        <v>25</v>
      </c>
      <c r="F16" t="s">
        <v>12</v>
      </c>
      <c r="G16" s="75">
        <f>+'[1]CUADRILLA 1, 2 Y 3 + REVESTIDOR'!$K$47</f>
        <v>1142927</v>
      </c>
      <c r="I16" t="s">
        <v>23</v>
      </c>
      <c r="J16" t="s">
        <v>188</v>
      </c>
      <c r="K16" s="26">
        <v>21994</v>
      </c>
      <c r="O16" s="26"/>
    </row>
    <row r="17" spans="1:15" x14ac:dyDescent="0.25">
      <c r="A17" t="s">
        <v>67</v>
      </c>
      <c r="B17" t="s">
        <v>126</v>
      </c>
      <c r="C17" s="26">
        <f>52926/G1</f>
        <v>2160.2448979591836</v>
      </c>
      <c r="E17" t="s">
        <v>133</v>
      </c>
      <c r="F17" t="s">
        <v>12</v>
      </c>
      <c r="G17" s="75">
        <f>+'[1]CUADRILLA 1, 2 Y 3 + REVESTIDOR'!$L$47</f>
        <v>1239065</v>
      </c>
      <c r="I17" t="s">
        <v>23</v>
      </c>
      <c r="J17" t="s">
        <v>190</v>
      </c>
      <c r="K17" s="26">
        <f>141426/29</f>
        <v>4876.7586206896549</v>
      </c>
      <c r="O17" s="26"/>
    </row>
    <row r="18" spans="1:15" x14ac:dyDescent="0.25">
      <c r="A18" t="s">
        <v>143</v>
      </c>
      <c r="B18" t="s">
        <v>136</v>
      </c>
      <c r="C18" s="26">
        <f>33214.5/G1</f>
        <v>1355.6938775510205</v>
      </c>
      <c r="E18" t="s">
        <v>134</v>
      </c>
      <c r="F18" t="s">
        <v>12</v>
      </c>
      <c r="G18" s="75">
        <f>+'[1]CUADRILLA 1, 2 Y 3 + REVESTIDOR'!$M$47</f>
        <v>1018147</v>
      </c>
      <c r="I18" t="s">
        <v>23</v>
      </c>
      <c r="J18" t="s">
        <v>191</v>
      </c>
      <c r="K18" s="26">
        <f>56855/29</f>
        <v>1960.5172413793102</v>
      </c>
      <c r="O18" s="26"/>
    </row>
    <row r="19" spans="1:15" x14ac:dyDescent="0.25">
      <c r="A19" t="s">
        <v>143</v>
      </c>
      <c r="B19" t="s">
        <v>126</v>
      </c>
      <c r="C19" s="26">
        <f>166998/G1</f>
        <v>6816.2448979591836</v>
      </c>
      <c r="E19" t="s">
        <v>139</v>
      </c>
      <c r="F19" t="s">
        <v>12</v>
      </c>
      <c r="G19" s="75">
        <f>+'[1]CUADRILLA 1, 2 Y 3 + REVESTIDOR'!$N$47</f>
        <v>651193</v>
      </c>
      <c r="I19" t="s">
        <v>25</v>
      </c>
      <c r="J19" t="s">
        <v>186</v>
      </c>
      <c r="K19" s="26">
        <v>58575</v>
      </c>
      <c r="O19" s="26"/>
    </row>
    <row r="20" spans="1:15" x14ac:dyDescent="0.25">
      <c r="A20" t="s">
        <v>143</v>
      </c>
      <c r="B20" t="s">
        <v>157</v>
      </c>
      <c r="C20" s="26">
        <f>878+142</f>
        <v>1020</v>
      </c>
      <c r="E20" t="s">
        <v>67</v>
      </c>
      <c r="F20" t="s">
        <v>12</v>
      </c>
      <c r="I20" t="s">
        <v>25</v>
      </c>
      <c r="J20" t="s">
        <v>192</v>
      </c>
      <c r="K20" s="26">
        <v>13658</v>
      </c>
      <c r="O20" s="26"/>
    </row>
    <row r="21" spans="1:15" x14ac:dyDescent="0.25">
      <c r="A21" t="s">
        <v>143</v>
      </c>
      <c r="B21" t="s">
        <v>125</v>
      </c>
      <c r="C21" s="26">
        <f>1164143/G1</f>
        <v>47516.040816326531</v>
      </c>
      <c r="I21" t="s">
        <v>133</v>
      </c>
      <c r="J21" t="s">
        <v>183</v>
      </c>
      <c r="K21" s="26">
        <v>56174</v>
      </c>
      <c r="O21" s="26"/>
    </row>
    <row r="22" spans="1:15" x14ac:dyDescent="0.25">
      <c r="A22" t="s">
        <v>70</v>
      </c>
      <c r="B22" t="s">
        <v>136</v>
      </c>
      <c r="C22" s="26"/>
      <c r="I22" t="s">
        <v>133</v>
      </c>
      <c r="J22" t="s">
        <v>184</v>
      </c>
      <c r="K22" s="26">
        <f>117959/29</f>
        <v>4067.5517241379312</v>
      </c>
    </row>
    <row r="23" spans="1:15" x14ac:dyDescent="0.25">
      <c r="A23" t="s">
        <v>70</v>
      </c>
      <c r="B23" t="s">
        <v>125</v>
      </c>
      <c r="C23" s="26">
        <f>1157819/G1</f>
        <v>47257.918367346938</v>
      </c>
      <c r="I23" t="s">
        <v>133</v>
      </c>
      <c r="J23" t="s">
        <v>185</v>
      </c>
      <c r="K23" s="26">
        <v>14683</v>
      </c>
    </row>
    <row r="24" spans="1:15" x14ac:dyDescent="0.25">
      <c r="A24" t="s">
        <v>70</v>
      </c>
      <c r="B24" t="s">
        <v>126</v>
      </c>
      <c r="C24" s="26">
        <f>215895/G1</f>
        <v>8812.0408163265311</v>
      </c>
      <c r="I24" t="s">
        <v>133</v>
      </c>
      <c r="J24" t="s">
        <v>187</v>
      </c>
      <c r="K24" s="26">
        <f>144236/29</f>
        <v>4973.6551724137935</v>
      </c>
    </row>
    <row r="25" spans="1:15" x14ac:dyDescent="0.25">
      <c r="A25" t="s">
        <v>70</v>
      </c>
      <c r="B25" t="s">
        <v>157</v>
      </c>
      <c r="C25" s="26">
        <v>878</v>
      </c>
      <c r="I25" t="s">
        <v>133</v>
      </c>
      <c r="K25" s="26"/>
    </row>
    <row r="26" spans="1:15" x14ac:dyDescent="0.25">
      <c r="A26" t="s">
        <v>160</v>
      </c>
      <c r="B26" t="s">
        <v>136</v>
      </c>
      <c r="C26" s="26">
        <f>56433/G1</f>
        <v>2303.387755102041</v>
      </c>
      <c r="I26" t="s">
        <v>130</v>
      </c>
      <c r="J26" t="s">
        <v>198</v>
      </c>
      <c r="K26" s="26">
        <f>4712+2493</f>
        <v>7205</v>
      </c>
    </row>
    <row r="27" spans="1:15" x14ac:dyDescent="0.25">
      <c r="A27" t="s">
        <v>160</v>
      </c>
      <c r="B27" t="s">
        <v>126</v>
      </c>
      <c r="C27" s="26">
        <f>260854/G1</f>
        <v>10647.102040816326</v>
      </c>
      <c r="I27" t="s">
        <v>25</v>
      </c>
      <c r="J27" t="s">
        <v>198</v>
      </c>
      <c r="K27" s="26">
        <v>12493</v>
      </c>
    </row>
    <row r="28" spans="1:15" x14ac:dyDescent="0.25">
      <c r="A28" t="s">
        <v>160</v>
      </c>
      <c r="B28" t="s">
        <v>162</v>
      </c>
      <c r="C28" s="26">
        <v>16733</v>
      </c>
      <c r="K28" s="26"/>
    </row>
    <row r="29" spans="1:15" x14ac:dyDescent="0.25">
      <c r="A29" t="s">
        <v>160</v>
      </c>
      <c r="B29" t="s">
        <v>125</v>
      </c>
      <c r="C29" s="26">
        <f>1040816/G1</f>
        <v>42482.285714285717</v>
      </c>
      <c r="I29" t="s">
        <v>137</v>
      </c>
      <c r="J29" t="s">
        <v>199</v>
      </c>
      <c r="K29" s="26">
        <v>15704</v>
      </c>
    </row>
    <row r="30" spans="1:15" x14ac:dyDescent="0.25">
      <c r="A30" t="s">
        <v>102</v>
      </c>
      <c r="B30" t="s">
        <v>163</v>
      </c>
      <c r="C30" s="26">
        <v>27719</v>
      </c>
      <c r="I30" t="s">
        <v>137</v>
      </c>
      <c r="J30" t="s">
        <v>200</v>
      </c>
      <c r="K30" s="26">
        <v>12896</v>
      </c>
    </row>
    <row r="31" spans="1:15" x14ac:dyDescent="0.25">
      <c r="A31" t="s">
        <v>102</v>
      </c>
      <c r="B31" t="s">
        <v>136</v>
      </c>
      <c r="C31" s="26">
        <f>21948/G1</f>
        <v>895.83673469387759</v>
      </c>
      <c r="I31" t="s">
        <v>137</v>
      </c>
      <c r="J31" t="s">
        <v>205</v>
      </c>
      <c r="K31" s="26">
        <v>1442</v>
      </c>
    </row>
    <row r="32" spans="1:15" x14ac:dyDescent="0.25">
      <c r="A32" t="s">
        <v>102</v>
      </c>
      <c r="B32" t="s">
        <v>126</v>
      </c>
      <c r="C32" s="26">
        <f>209700/G1</f>
        <v>8559.1836734693879</v>
      </c>
      <c r="I32" t="s">
        <v>67</v>
      </c>
      <c r="J32" t="s">
        <v>198</v>
      </c>
      <c r="K32" s="26">
        <f>1046+1603+1218</f>
        <v>3867</v>
      </c>
    </row>
    <row r="33" spans="1:4" x14ac:dyDescent="0.25">
      <c r="A33" t="s">
        <v>102</v>
      </c>
      <c r="B33" t="s">
        <v>166</v>
      </c>
      <c r="C33" s="26">
        <f>56287/G1</f>
        <v>2297.4285714285716</v>
      </c>
    </row>
    <row r="34" spans="1:4" x14ac:dyDescent="0.25">
      <c r="A34" t="s">
        <v>102</v>
      </c>
      <c r="B34" t="s">
        <v>168</v>
      </c>
      <c r="C34" s="26">
        <v>69540</v>
      </c>
    </row>
    <row r="35" spans="1:4" x14ac:dyDescent="0.25">
      <c r="A35" t="s">
        <v>8</v>
      </c>
      <c r="B35" t="s">
        <v>165</v>
      </c>
      <c r="C35" s="26">
        <f>1171707/G1</f>
        <v>47824.775510204083</v>
      </c>
    </row>
    <row r="36" spans="1:4" x14ac:dyDescent="0.25">
      <c r="A36" t="s">
        <v>8</v>
      </c>
      <c r="B36" t="s">
        <v>169</v>
      </c>
      <c r="C36" s="26">
        <f>37805/G1</f>
        <v>1543.0612244897959</v>
      </c>
    </row>
    <row r="37" spans="1:4" x14ac:dyDescent="0.25">
      <c r="A37" t="s">
        <v>8</v>
      </c>
      <c r="B37" t="s">
        <v>126</v>
      </c>
      <c r="C37" s="26">
        <f>301052/G1</f>
        <v>12287.836734693878</v>
      </c>
    </row>
    <row r="38" spans="1:4" x14ac:dyDescent="0.25">
      <c r="A38" t="s">
        <v>8</v>
      </c>
      <c r="B38" t="s">
        <v>171</v>
      </c>
      <c r="C38" s="26">
        <f>285062/G1</f>
        <v>11635.183673469388</v>
      </c>
    </row>
    <row r="39" spans="1:4" x14ac:dyDescent="0.25">
      <c r="A39" t="s">
        <v>11</v>
      </c>
      <c r="B39" t="s">
        <v>136</v>
      </c>
      <c r="C39" s="26">
        <f>38820/G1</f>
        <v>1584.4897959183672</v>
      </c>
    </row>
    <row r="40" spans="1:4" x14ac:dyDescent="0.25">
      <c r="A40" t="s">
        <v>11</v>
      </c>
      <c r="B40" t="s">
        <v>126</v>
      </c>
      <c r="C40" s="26">
        <f>276870/30</f>
        <v>9229</v>
      </c>
      <c r="D40" t="s">
        <v>178</v>
      </c>
    </row>
    <row r="41" spans="1:4" x14ac:dyDescent="0.25">
      <c r="A41" t="s">
        <v>11</v>
      </c>
      <c r="B41" t="s">
        <v>168</v>
      </c>
      <c r="C41" s="26">
        <f>69540/30</f>
        <v>2318</v>
      </c>
    </row>
    <row r="42" spans="1:4" x14ac:dyDescent="0.25">
      <c r="A42" t="s">
        <v>11</v>
      </c>
      <c r="B42" t="s">
        <v>166</v>
      </c>
      <c r="C42" s="26">
        <f>211029/30</f>
        <v>7034.3</v>
      </c>
    </row>
    <row r="43" spans="1:4" x14ac:dyDescent="0.25">
      <c r="A43" t="s">
        <v>111</v>
      </c>
      <c r="B43" t="s">
        <v>125</v>
      </c>
      <c r="C43" s="26">
        <f>899657/30</f>
        <v>29988.566666666666</v>
      </c>
    </row>
    <row r="44" spans="1:4" x14ac:dyDescent="0.25">
      <c r="A44" t="s">
        <v>111</v>
      </c>
      <c r="B44" t="s">
        <v>136</v>
      </c>
      <c r="C44" s="26">
        <f>47214/28</f>
        <v>1686.2142857142858</v>
      </c>
    </row>
    <row r="45" spans="1:4" x14ac:dyDescent="0.25">
      <c r="A45" t="s">
        <v>111</v>
      </c>
      <c r="B45" t="s">
        <v>126</v>
      </c>
      <c r="C45" s="26">
        <f>210870/29</f>
        <v>7271.3793103448279</v>
      </c>
    </row>
    <row r="46" spans="1:4" x14ac:dyDescent="0.25">
      <c r="A46" t="s">
        <v>111</v>
      </c>
      <c r="B46" t="s">
        <v>193</v>
      </c>
      <c r="C46" s="26">
        <f>74115/29</f>
        <v>2555.6896551724139</v>
      </c>
    </row>
    <row r="47" spans="1:4" x14ac:dyDescent="0.25">
      <c r="A47" t="s">
        <v>111</v>
      </c>
      <c r="B47" t="s">
        <v>194</v>
      </c>
      <c r="C47" s="26">
        <f>592398/29</f>
        <v>20427.517241379312</v>
      </c>
    </row>
    <row r="48" spans="1:4" x14ac:dyDescent="0.25">
      <c r="A48" t="s">
        <v>113</v>
      </c>
      <c r="B48" t="s">
        <v>126</v>
      </c>
      <c r="C48" s="26">
        <f>299493/29</f>
        <v>10327.344827586207</v>
      </c>
    </row>
    <row r="49" spans="1:3" x14ac:dyDescent="0.25">
      <c r="A49" t="s">
        <v>113</v>
      </c>
      <c r="B49" t="s">
        <v>194</v>
      </c>
      <c r="C49" s="26">
        <f>256349/29</f>
        <v>8839.6206896551721</v>
      </c>
    </row>
    <row r="50" spans="1:3" x14ac:dyDescent="0.25">
      <c r="A50" t="s">
        <v>133</v>
      </c>
      <c r="B50" t="s">
        <v>168</v>
      </c>
      <c r="C50" s="26">
        <f>176279/29</f>
        <v>6078.5862068965516</v>
      </c>
    </row>
    <row r="51" spans="1:3" x14ac:dyDescent="0.25">
      <c r="A51" t="s">
        <v>113</v>
      </c>
      <c r="B51" t="s">
        <v>136</v>
      </c>
      <c r="C51" s="26">
        <f>57675/29</f>
        <v>1988.7931034482758</v>
      </c>
    </row>
    <row r="52" spans="1:3" x14ac:dyDescent="0.25">
      <c r="A52" t="s">
        <v>113</v>
      </c>
      <c r="B52" t="s">
        <v>126</v>
      </c>
      <c r="C52" s="26">
        <f>37059/29</f>
        <v>1277.8965517241379</v>
      </c>
    </row>
    <row r="53" spans="1:3" x14ac:dyDescent="0.25">
      <c r="A53" t="s">
        <v>133</v>
      </c>
      <c r="B53" t="s">
        <v>194</v>
      </c>
      <c r="C53" s="26">
        <f>156308/29</f>
        <v>5389.9310344827591</v>
      </c>
    </row>
    <row r="54" spans="1:3" x14ac:dyDescent="0.25">
      <c r="A54" t="s">
        <v>133</v>
      </c>
      <c r="B54" t="s">
        <v>126</v>
      </c>
      <c r="C54" s="26">
        <v>552.34482758620686</v>
      </c>
    </row>
    <row r="55" spans="1:3" x14ac:dyDescent="0.25">
      <c r="A55" t="s">
        <v>133</v>
      </c>
      <c r="B55" t="s">
        <v>136</v>
      </c>
      <c r="C55" s="26">
        <f>83141/29</f>
        <v>2866.9310344827586</v>
      </c>
    </row>
    <row r="56" spans="1:3" x14ac:dyDescent="0.25">
      <c r="A56" t="s">
        <v>133</v>
      </c>
      <c r="B56" t="s">
        <v>126</v>
      </c>
      <c r="C56" s="26"/>
    </row>
    <row r="57" spans="1:3" x14ac:dyDescent="0.25">
      <c r="A57" t="s">
        <v>134</v>
      </c>
      <c r="B57" t="s">
        <v>136</v>
      </c>
      <c r="C57" s="26">
        <f>34922/30</f>
        <v>1164.0666666666666</v>
      </c>
    </row>
    <row r="58" spans="1:3" x14ac:dyDescent="0.25">
      <c r="A58" t="s">
        <v>134</v>
      </c>
      <c r="B58" t="s">
        <v>126</v>
      </c>
      <c r="C58" s="26">
        <v>545.0333333333333</v>
      </c>
    </row>
    <row r="59" spans="1:3" x14ac:dyDescent="0.25">
      <c r="A59" t="s">
        <v>134</v>
      </c>
      <c r="B59" t="s">
        <v>194</v>
      </c>
      <c r="C59" s="26">
        <f>191021/29</f>
        <v>6586.9310344827591</v>
      </c>
    </row>
    <row r="60" spans="1:3" x14ac:dyDescent="0.25">
      <c r="A60" t="s">
        <v>134</v>
      </c>
      <c r="B60" t="s">
        <v>168</v>
      </c>
      <c r="C60" s="26">
        <f>96358/29</f>
        <v>3322.6896551724139</v>
      </c>
    </row>
    <row r="61" spans="1:3" x14ac:dyDescent="0.25">
      <c r="A61" t="s">
        <v>139</v>
      </c>
      <c r="B61" t="s">
        <v>136</v>
      </c>
      <c r="C61" s="26">
        <f>33745/31</f>
        <v>1088.5483870967741</v>
      </c>
    </row>
    <row r="62" spans="1:3" x14ac:dyDescent="0.25">
      <c r="A62" t="s">
        <v>139</v>
      </c>
      <c r="B62" t="s">
        <v>204</v>
      </c>
      <c r="C62" s="26">
        <f>255186/30</f>
        <v>8506.2000000000007</v>
      </c>
    </row>
    <row r="63" spans="1:3" x14ac:dyDescent="0.25">
      <c r="A63" t="s">
        <v>139</v>
      </c>
      <c r="B63" t="s">
        <v>126</v>
      </c>
      <c r="C63" s="26">
        <f>481388/30</f>
        <v>16046.266666666666</v>
      </c>
    </row>
    <row r="64" spans="1:3" x14ac:dyDescent="0.25">
      <c r="A64" t="s">
        <v>139</v>
      </c>
      <c r="B64" t="s">
        <v>207</v>
      </c>
      <c r="C64" s="26">
        <f>106+121</f>
        <v>227</v>
      </c>
    </row>
    <row r="65" spans="1:15" x14ac:dyDescent="0.25">
      <c r="A65" t="s">
        <v>202</v>
      </c>
      <c r="B65" t="s">
        <v>136</v>
      </c>
      <c r="C65" s="26">
        <f>61183/30</f>
        <v>2039.4333333333334</v>
      </c>
    </row>
    <row r="66" spans="1:15" x14ac:dyDescent="0.25">
      <c r="A66" t="s">
        <v>67</v>
      </c>
      <c r="B66" t="s">
        <v>126</v>
      </c>
      <c r="C66" s="26">
        <f>54664/30</f>
        <v>1822.1333333333334</v>
      </c>
    </row>
    <row r="67" spans="1:15" x14ac:dyDescent="0.25">
      <c r="A67" t="s">
        <v>67</v>
      </c>
      <c r="B67" t="s">
        <v>168</v>
      </c>
      <c r="C67" s="26">
        <f>51670/30</f>
        <v>1722.3333333333333</v>
      </c>
    </row>
    <row r="68" spans="1:15" x14ac:dyDescent="0.25">
      <c r="A68" t="s">
        <v>67</v>
      </c>
      <c r="B68" t="s">
        <v>126</v>
      </c>
      <c r="C68" s="26">
        <f>28302+28302+42453+42453+28302</f>
        <v>169812</v>
      </c>
    </row>
    <row r="69" spans="1:15" x14ac:dyDescent="0.25">
      <c r="A69" t="s">
        <v>67</v>
      </c>
      <c r="B69" t="s">
        <v>194</v>
      </c>
      <c r="C69" s="26">
        <v>10070</v>
      </c>
    </row>
    <row r="70" spans="1:15" x14ac:dyDescent="0.25">
      <c r="C70" s="26"/>
    </row>
    <row r="71" spans="1:15" x14ac:dyDescent="0.25">
      <c r="C71" s="26"/>
    </row>
    <row r="72" spans="1:15" x14ac:dyDescent="0.25">
      <c r="C72" s="26"/>
    </row>
    <row r="73" spans="1:15" x14ac:dyDescent="0.25">
      <c r="B73" s="85" t="s">
        <v>121</v>
      </c>
      <c r="C73" s="88">
        <f>SUM(C4:C72)</f>
        <v>781884.23934182362</v>
      </c>
      <c r="F73" s="85" t="s">
        <v>74</v>
      </c>
      <c r="G73" s="88">
        <f>SUM(G4:G72)</f>
        <v>11167409</v>
      </c>
      <c r="N73" s="85" t="s">
        <v>121</v>
      </c>
      <c r="O73" s="90">
        <f>SUM(O4:O72)</f>
        <v>563123</v>
      </c>
    </row>
    <row r="74" spans="1:15" x14ac:dyDescent="0.25">
      <c r="C74" s="26"/>
      <c r="F74" t="s">
        <v>146</v>
      </c>
      <c r="G74" s="26">
        <f>+G73/G1</f>
        <v>455812.61224489799</v>
      </c>
    </row>
    <row r="75" spans="1:15" x14ac:dyDescent="0.25">
      <c r="C75" s="26"/>
      <c r="J75" s="85" t="s">
        <v>121</v>
      </c>
      <c r="K75" s="89">
        <f>SUM(K4:K74)</f>
        <v>569937.86206896557</v>
      </c>
    </row>
    <row r="76" spans="1:15" x14ac:dyDescent="0.25">
      <c r="C76" s="26"/>
    </row>
    <row r="77" spans="1:15" ht="18.75" x14ac:dyDescent="0.3">
      <c r="C77" s="26"/>
      <c r="D77" s="140" t="s">
        <v>154</v>
      </c>
      <c r="E77" s="140"/>
      <c r="F77" s="91">
        <f>+C73+G74+K75+O73</f>
        <v>2370757.7136556869</v>
      </c>
    </row>
    <row r="78" spans="1:15" x14ac:dyDescent="0.25">
      <c r="C78" s="26"/>
    </row>
  </sheetData>
  <mergeCells count="5">
    <mergeCell ref="C1:E1"/>
    <mergeCell ref="I1:K1"/>
    <mergeCell ref="M1:O1"/>
    <mergeCell ref="D77:E77"/>
    <mergeCell ref="Q1:S1"/>
  </mergeCells>
  <pageMargins left="0.7" right="0.7" top="0.75" bottom="0.75" header="0.3" footer="0.3"/>
  <pageSetup paperSize="9" scale="43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workbookViewId="0">
      <selection activeCell="H19" sqref="H19"/>
    </sheetView>
  </sheetViews>
  <sheetFormatPr baseColWidth="10" defaultRowHeight="15" x14ac:dyDescent="0.25"/>
  <cols>
    <col min="2" max="2" width="12.140625" bestFit="1" customWidth="1"/>
    <col min="4" max="4" width="11.42578125" style="26"/>
  </cols>
  <sheetData>
    <row r="2" spans="2:6" x14ac:dyDescent="0.25">
      <c r="B2" s="132" t="s">
        <v>155</v>
      </c>
      <c r="C2" s="132"/>
      <c r="D2" s="132"/>
    </row>
    <row r="4" spans="2:6" x14ac:dyDescent="0.25">
      <c r="B4" s="72" t="s">
        <v>118</v>
      </c>
      <c r="C4" s="72" t="s">
        <v>123</v>
      </c>
      <c r="D4" s="77" t="s">
        <v>153</v>
      </c>
      <c r="E4" s="103" t="s">
        <v>212</v>
      </c>
      <c r="F4" s="110" t="s">
        <v>213</v>
      </c>
    </row>
    <row r="5" spans="2:6" x14ac:dyDescent="0.25">
      <c r="B5" t="s">
        <v>137</v>
      </c>
      <c r="C5" t="s">
        <v>156</v>
      </c>
      <c r="D5" s="26">
        <v>5028</v>
      </c>
    </row>
    <row r="6" spans="2:6" x14ac:dyDescent="0.25">
      <c r="B6" t="s">
        <v>103</v>
      </c>
      <c r="C6" t="s">
        <v>211</v>
      </c>
      <c r="D6" s="26">
        <f>+F6*E6</f>
        <v>52031.100000000006</v>
      </c>
      <c r="E6">
        <v>1.1000000000000001</v>
      </c>
      <c r="F6">
        <v>47301</v>
      </c>
    </row>
    <row r="7" spans="2:6" x14ac:dyDescent="0.25">
      <c r="B7" t="s">
        <v>143</v>
      </c>
      <c r="C7" t="s">
        <v>214</v>
      </c>
      <c r="D7" s="26">
        <f t="shared" ref="D7:D9" si="0">+F7*E7</f>
        <v>42383</v>
      </c>
      <c r="E7">
        <v>1.1000000000000001</v>
      </c>
      <c r="F7">
        <v>38530</v>
      </c>
    </row>
    <row r="8" spans="2:6" x14ac:dyDescent="0.25">
      <c r="B8" t="s">
        <v>111</v>
      </c>
      <c r="C8" t="s">
        <v>215</v>
      </c>
      <c r="D8" s="26">
        <f t="shared" si="0"/>
        <v>64854.900000000009</v>
      </c>
      <c r="E8">
        <v>1.1000000000000001</v>
      </c>
      <c r="F8">
        <v>58959</v>
      </c>
    </row>
    <row r="9" spans="2:6" x14ac:dyDescent="0.25">
      <c r="B9" t="s">
        <v>216</v>
      </c>
      <c r="C9" t="s">
        <v>217</v>
      </c>
      <c r="D9" s="26">
        <f t="shared" si="0"/>
        <v>52962.8</v>
      </c>
      <c r="E9">
        <v>1.1000000000000001</v>
      </c>
      <c r="F9">
        <v>48148</v>
      </c>
    </row>
    <row r="11" spans="2:6" x14ac:dyDescent="0.25">
      <c r="B11" t="s">
        <v>202</v>
      </c>
      <c r="C11" t="s">
        <v>206</v>
      </c>
      <c r="D11" s="26">
        <v>195</v>
      </c>
    </row>
    <row r="12" spans="2:6" x14ac:dyDescent="0.25">
      <c r="B12" t="s">
        <v>137</v>
      </c>
      <c r="C12" t="s">
        <v>208</v>
      </c>
      <c r="D12" s="26">
        <f>118+144</f>
        <v>262</v>
      </c>
    </row>
    <row r="15" spans="2:6" x14ac:dyDescent="0.25">
      <c r="C15" t="s">
        <v>138</v>
      </c>
      <c r="D15" s="26">
        <f>SUM(D5:D14)</f>
        <v>217716.8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3"/>
  <sheetViews>
    <sheetView workbookViewId="0">
      <selection activeCell="D26" sqref="D26"/>
    </sheetView>
  </sheetViews>
  <sheetFormatPr baseColWidth="10" defaultRowHeight="15" x14ac:dyDescent="0.25"/>
  <cols>
    <col min="2" max="2" width="26.42578125" bestFit="1" customWidth="1"/>
    <col min="5" max="5" width="11.7109375" bestFit="1" customWidth="1"/>
    <col min="7" max="7" width="14.140625" style="26" bestFit="1" customWidth="1"/>
  </cols>
  <sheetData>
    <row r="3" spans="1:9" x14ac:dyDescent="0.25">
      <c r="A3" s="92"/>
      <c r="B3" s="93" t="s">
        <v>121</v>
      </c>
      <c r="C3" s="92"/>
      <c r="E3" s="92"/>
      <c r="F3" s="93" t="s">
        <v>122</v>
      </c>
      <c r="G3" s="107"/>
    </row>
    <row r="4" spans="1:9" x14ac:dyDescent="0.25">
      <c r="A4" s="100" t="s">
        <v>118</v>
      </c>
      <c r="B4" s="101" t="s">
        <v>119</v>
      </c>
      <c r="C4" s="102" t="s">
        <v>120</v>
      </c>
      <c r="E4" s="100" t="s">
        <v>118</v>
      </c>
      <c r="F4" s="101" t="s">
        <v>119</v>
      </c>
      <c r="G4" s="108" t="s">
        <v>120</v>
      </c>
    </row>
    <row r="5" spans="1:9" x14ac:dyDescent="0.25">
      <c r="A5">
        <v>2013</v>
      </c>
      <c r="B5" t="s">
        <v>222</v>
      </c>
      <c r="C5" s="26">
        <v>1617</v>
      </c>
      <c r="E5" s="105" t="s">
        <v>143</v>
      </c>
      <c r="F5" s="105">
        <v>851</v>
      </c>
      <c r="G5" s="106">
        <f>706251</f>
        <v>706251</v>
      </c>
      <c r="H5" s="104"/>
      <c r="I5" s="104"/>
    </row>
    <row r="6" spans="1:9" x14ac:dyDescent="0.25">
      <c r="A6">
        <v>2014</v>
      </c>
      <c r="B6" t="s">
        <v>128</v>
      </c>
      <c r="C6" s="26">
        <v>22820</v>
      </c>
      <c r="E6" s="105" t="s">
        <v>160</v>
      </c>
      <c r="F6" s="105">
        <v>859</v>
      </c>
      <c r="G6" s="106">
        <f>298900</f>
        <v>298900</v>
      </c>
      <c r="H6" s="105"/>
      <c r="I6" s="105"/>
    </row>
    <row r="7" spans="1:9" x14ac:dyDescent="0.25">
      <c r="A7">
        <v>2014</v>
      </c>
      <c r="B7" t="s">
        <v>222</v>
      </c>
      <c r="C7" s="26">
        <v>5618</v>
      </c>
      <c r="E7" s="105" t="s">
        <v>210</v>
      </c>
      <c r="F7" s="105">
        <v>860</v>
      </c>
      <c r="G7" s="106">
        <f>414800</f>
        <v>414800</v>
      </c>
      <c r="H7" s="144"/>
      <c r="I7" s="105"/>
    </row>
    <row r="8" spans="1:9" x14ac:dyDescent="0.25">
      <c r="A8">
        <v>2015</v>
      </c>
      <c r="B8" t="s">
        <v>128</v>
      </c>
      <c r="C8" s="26">
        <v>133407</v>
      </c>
      <c r="E8" s="105" t="s">
        <v>95</v>
      </c>
      <c r="F8" s="105">
        <v>863</v>
      </c>
      <c r="G8" s="106">
        <f>280600</f>
        <v>280600</v>
      </c>
      <c r="H8" s="144"/>
      <c r="I8" s="105"/>
    </row>
    <row r="9" spans="1:9" x14ac:dyDescent="0.25">
      <c r="A9">
        <v>2015</v>
      </c>
      <c r="B9" t="s">
        <v>222</v>
      </c>
      <c r="C9" s="26">
        <v>8573</v>
      </c>
      <c r="E9" t="s">
        <v>103</v>
      </c>
      <c r="F9">
        <v>866</v>
      </c>
      <c r="G9" s="26">
        <f>317200</f>
        <v>317200</v>
      </c>
      <c r="H9" s="144"/>
      <c r="I9" s="105"/>
    </row>
    <row r="10" spans="1:9" x14ac:dyDescent="0.25">
      <c r="A10">
        <v>2016</v>
      </c>
      <c r="B10" t="s">
        <v>128</v>
      </c>
      <c r="C10" s="26">
        <v>27909</v>
      </c>
      <c r="E10" t="s">
        <v>196</v>
      </c>
      <c r="F10">
        <v>867</v>
      </c>
      <c r="G10" s="26">
        <f>317200</f>
        <v>317200</v>
      </c>
      <c r="H10" s="144"/>
      <c r="I10" s="105"/>
    </row>
    <row r="11" spans="1:9" x14ac:dyDescent="0.25">
      <c r="A11">
        <v>2016</v>
      </c>
      <c r="B11" t="s">
        <v>222</v>
      </c>
      <c r="C11" s="26">
        <v>793</v>
      </c>
      <c r="E11" t="s">
        <v>113</v>
      </c>
      <c r="F11">
        <v>871</v>
      </c>
      <c r="G11" s="26">
        <f>317200</f>
        <v>317200</v>
      </c>
      <c r="H11" s="144"/>
      <c r="I11" s="105"/>
    </row>
    <row r="12" spans="1:9" x14ac:dyDescent="0.25">
      <c r="C12" s="26"/>
      <c r="E12" t="s">
        <v>129</v>
      </c>
      <c r="F12">
        <v>873</v>
      </c>
      <c r="G12" s="26">
        <f>317200</f>
        <v>317200</v>
      </c>
      <c r="H12" s="144"/>
      <c r="I12" s="105"/>
    </row>
    <row r="13" spans="1:9" x14ac:dyDescent="0.25">
      <c r="C13" s="26"/>
      <c r="E13" t="s">
        <v>130</v>
      </c>
      <c r="F13">
        <v>877</v>
      </c>
      <c r="G13" s="26">
        <f>390400</f>
        <v>390400</v>
      </c>
      <c r="H13" s="144"/>
      <c r="I13" s="105"/>
    </row>
    <row r="14" spans="1:9" x14ac:dyDescent="0.25">
      <c r="C14" s="26"/>
      <c r="E14" t="s">
        <v>139</v>
      </c>
      <c r="F14">
        <v>878</v>
      </c>
      <c r="G14" s="26">
        <f>329400</f>
        <v>329400</v>
      </c>
      <c r="H14" s="144"/>
      <c r="I14" s="145"/>
    </row>
    <row r="15" spans="1:9" x14ac:dyDescent="0.25">
      <c r="B15" s="95" t="s">
        <v>74</v>
      </c>
      <c r="C15" s="94">
        <f>SUM(C5:C14)</f>
        <v>200737</v>
      </c>
      <c r="E15" t="s">
        <v>202</v>
      </c>
      <c r="H15" s="144"/>
      <c r="I15" s="145"/>
    </row>
    <row r="16" spans="1:9" x14ac:dyDescent="0.25">
      <c r="E16" t="s">
        <v>220</v>
      </c>
      <c r="G16" s="26">
        <v>190000</v>
      </c>
      <c r="H16" s="144"/>
      <c r="I16" s="145"/>
    </row>
    <row r="17" spans="5:9" x14ac:dyDescent="0.25">
      <c r="E17" t="s">
        <v>173</v>
      </c>
      <c r="H17" s="105"/>
      <c r="I17" s="105"/>
    </row>
    <row r="22" spans="5:9" x14ac:dyDescent="0.25">
      <c r="E22" s="142" t="s">
        <v>74</v>
      </c>
      <c r="F22" s="143"/>
      <c r="G22" s="42">
        <f>SUM(G5:G21)</f>
        <v>3879151</v>
      </c>
    </row>
    <row r="23" spans="5:9" x14ac:dyDescent="0.25">
      <c r="G23" s="94"/>
    </row>
  </sheetData>
  <mergeCells count="4">
    <mergeCell ref="E22:F22"/>
    <mergeCell ref="H7:H13"/>
    <mergeCell ref="H14:H16"/>
    <mergeCell ref="I14:I16"/>
  </mergeCells>
  <pageMargins left="0.7" right="0.7" top="0.75" bottom="0.75" header="0.3" footer="0.3"/>
  <pageSetup paperSize="9" scale="72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1"/>
  <sheetViews>
    <sheetView tabSelected="1" workbookViewId="0">
      <selection activeCell="E9" sqref="E9"/>
    </sheetView>
  </sheetViews>
  <sheetFormatPr baseColWidth="10" defaultRowHeight="18.75" customHeight="1" x14ac:dyDescent="0.25"/>
  <cols>
    <col min="1" max="1" width="4.140625" style="1" customWidth="1"/>
    <col min="2" max="2" width="21.28515625" style="1" bestFit="1" customWidth="1"/>
    <col min="3" max="3" width="11.7109375" style="47" bestFit="1" customWidth="1"/>
    <col min="4" max="4" width="13.140625" style="47" bestFit="1" customWidth="1"/>
    <col min="5" max="5" width="11.42578125" style="47"/>
    <col min="6" max="6" width="12" style="47" bestFit="1" customWidth="1"/>
    <col min="7" max="7" width="11.7109375" style="47" bestFit="1" customWidth="1"/>
    <col min="8" max="8" width="3.42578125" style="47" customWidth="1"/>
    <col min="9" max="9" width="11.7109375" style="47" bestFit="1" customWidth="1"/>
    <col min="10" max="12" width="11.42578125" style="47"/>
    <col min="13" max="13" width="12.7109375" style="47" bestFit="1" customWidth="1"/>
    <col min="14" max="14" width="12.42578125" style="47" bestFit="1" customWidth="1"/>
    <col min="15" max="15" width="18.140625" style="1" customWidth="1"/>
    <col min="16" max="16384" width="11.42578125" style="1"/>
  </cols>
  <sheetData>
    <row r="1" spans="1:15" ht="18.75" customHeight="1" x14ac:dyDescent="0.25">
      <c r="A1" s="38"/>
      <c r="B1" s="146" t="s">
        <v>29</v>
      </c>
      <c r="C1" s="146"/>
      <c r="D1" s="146"/>
      <c r="E1" s="146"/>
      <c r="F1" s="146"/>
      <c r="G1" s="146"/>
      <c r="I1" s="147" t="s">
        <v>76</v>
      </c>
      <c r="J1" s="147"/>
      <c r="K1" s="147"/>
      <c r="L1" s="147"/>
      <c r="M1" s="147"/>
      <c r="N1" s="147"/>
    </row>
    <row r="2" spans="1:15" ht="18.75" customHeight="1" thickBot="1" x14ac:dyDescent="0.3">
      <c r="A2" s="24"/>
      <c r="B2" s="36" t="s">
        <v>30</v>
      </c>
      <c r="C2" s="48" t="s">
        <v>27</v>
      </c>
      <c r="D2" s="48" t="s">
        <v>28</v>
      </c>
      <c r="E2" s="48" t="s">
        <v>131</v>
      </c>
      <c r="F2" s="49" t="s">
        <v>68</v>
      </c>
      <c r="G2" s="50"/>
      <c r="I2" s="51" t="s">
        <v>77</v>
      </c>
      <c r="J2" s="48" t="s">
        <v>78</v>
      </c>
      <c r="K2" s="48" t="s">
        <v>78</v>
      </c>
      <c r="L2" s="48" t="s">
        <v>79</v>
      </c>
      <c r="M2" s="52" t="s">
        <v>74</v>
      </c>
      <c r="N2" s="53" t="s">
        <v>96</v>
      </c>
    </row>
    <row r="3" spans="1:15" ht="18.75" customHeight="1" thickTop="1" x14ac:dyDescent="0.25">
      <c r="A3" s="23"/>
      <c r="B3" s="37" t="s">
        <v>26</v>
      </c>
      <c r="C3" s="54">
        <f>'Pilotaje y Muro colado'!G37</f>
        <v>1178031</v>
      </c>
      <c r="D3" s="54">
        <f>'Pilotaje y Muro colado'!G36</f>
        <v>827561.65099999995</v>
      </c>
      <c r="E3" s="54">
        <f>+C3/22.5</f>
        <v>52356.933333333334</v>
      </c>
      <c r="F3" s="55">
        <f>SUM(D3:E3)</f>
        <v>879918.5843333333</v>
      </c>
      <c r="I3" s="56">
        <f>400000+295000</f>
        <v>695000</v>
      </c>
      <c r="J3" s="54">
        <f>12000+8850</f>
        <v>20850</v>
      </c>
      <c r="K3" s="54">
        <f>12000+8850</f>
        <v>20850</v>
      </c>
      <c r="L3" s="54">
        <f>93280+46794</f>
        <v>140074</v>
      </c>
      <c r="M3" s="54">
        <f>SUM(I3:L3)</f>
        <v>876774</v>
      </c>
      <c r="N3" s="65">
        <f>+M3-F3</f>
        <v>-3144.5843333333032</v>
      </c>
    </row>
    <row r="4" spans="1:15" ht="18.75" customHeight="1" x14ac:dyDescent="0.25">
      <c r="B4" s="37" t="s">
        <v>36</v>
      </c>
      <c r="C4" s="54">
        <f>Excavacion!H19</f>
        <v>800897.2</v>
      </c>
      <c r="D4" s="54">
        <f>Excavacion!H18</f>
        <v>93343.86</v>
      </c>
      <c r="E4" s="54">
        <f>+C4/22.5</f>
        <v>35595.431111111109</v>
      </c>
      <c r="F4" s="55">
        <f>SUM(D4:E4)</f>
        <v>128939.29111111112</v>
      </c>
      <c r="I4" s="56">
        <v>100000</v>
      </c>
      <c r="J4" s="54">
        <v>3000</v>
      </c>
      <c r="K4" s="54">
        <v>3000</v>
      </c>
      <c r="L4" s="54">
        <v>25520</v>
      </c>
      <c r="M4" s="54">
        <f t="shared" ref="M4:M15" si="0">SUM(I4:L4)</f>
        <v>131520</v>
      </c>
      <c r="N4" s="66">
        <f t="shared" ref="N4:N15" si="1">+M4-F4</f>
        <v>2580.7088888888829</v>
      </c>
    </row>
    <row r="5" spans="1:15" ht="18.75" customHeight="1" x14ac:dyDescent="0.25">
      <c r="B5" s="37" t="s">
        <v>75</v>
      </c>
      <c r="C5" s="54">
        <f>Estructura!H129</f>
        <v>22197947.6534</v>
      </c>
      <c r="D5" s="54">
        <f>Estructura!H128</f>
        <v>1789558.71</v>
      </c>
      <c r="E5" s="54">
        <f>+C5/22.5</f>
        <v>986575.45126222225</v>
      </c>
      <c r="F5" s="55">
        <f>SUM(D5:E5)</f>
        <v>2776134.1612622221</v>
      </c>
      <c r="I5" s="56">
        <v>1885500</v>
      </c>
      <c r="J5" s="54">
        <v>56565</v>
      </c>
      <c r="K5" s="54">
        <v>56565</v>
      </c>
      <c r="L5" s="54">
        <v>439698</v>
      </c>
      <c r="M5" s="54">
        <f>SUM(I5:L5)</f>
        <v>2438328</v>
      </c>
      <c r="N5" s="84">
        <f>+M5-F5</f>
        <v>-337806.1612622221</v>
      </c>
    </row>
    <row r="6" spans="1:15" ht="18.75" customHeight="1" x14ac:dyDescent="0.25">
      <c r="B6" s="37" t="s">
        <v>82</v>
      </c>
      <c r="C6" s="54"/>
      <c r="D6" s="54">
        <v>323090</v>
      </c>
      <c r="E6" s="54"/>
      <c r="F6" s="55">
        <f>SUM(D6:E6)</f>
        <v>323090</v>
      </c>
      <c r="G6" s="76" t="s">
        <v>104</v>
      </c>
      <c r="I6" s="56">
        <v>243000</v>
      </c>
      <c r="J6" s="54">
        <v>7290</v>
      </c>
      <c r="K6" s="54">
        <v>7290</v>
      </c>
      <c r="L6" s="54">
        <v>56667</v>
      </c>
      <c r="M6" s="54">
        <f>SUM(I6:L6)</f>
        <v>314247</v>
      </c>
      <c r="N6" s="67">
        <f t="shared" si="1"/>
        <v>-8843</v>
      </c>
    </row>
    <row r="7" spans="1:15" ht="18.75" customHeight="1" x14ac:dyDescent="0.25">
      <c r="B7" s="37" t="s">
        <v>83</v>
      </c>
      <c r="C7" s="54"/>
      <c r="D7" s="54">
        <f>Albañileria!F77</f>
        <v>2370757.7136556869</v>
      </c>
      <c r="E7" s="54"/>
      <c r="F7" s="55"/>
      <c r="G7" s="76"/>
      <c r="I7" s="56">
        <v>2000000</v>
      </c>
      <c r="J7" s="54">
        <v>60000</v>
      </c>
      <c r="K7" s="54">
        <v>60000</v>
      </c>
      <c r="L7" s="54">
        <v>466400</v>
      </c>
      <c r="M7" s="54">
        <f t="shared" si="0"/>
        <v>2586400</v>
      </c>
      <c r="N7" s="84">
        <f>+M7-D7</f>
        <v>215642.28634431306</v>
      </c>
    </row>
    <row r="8" spans="1:15" ht="18.75" customHeight="1" x14ac:dyDescent="0.25">
      <c r="B8" s="37" t="s">
        <v>84</v>
      </c>
      <c r="C8" s="54">
        <v>7645968</v>
      </c>
      <c r="D8" s="54">
        <f>331112*1.22</f>
        <v>403956.64</v>
      </c>
      <c r="E8" s="54">
        <f>+C8/22.5</f>
        <v>339820.79999999999</v>
      </c>
      <c r="F8" s="55">
        <f t="shared" ref="F8" si="2">SUM(D8:E8)</f>
        <v>743777.44</v>
      </c>
      <c r="G8" s="76" t="s">
        <v>105</v>
      </c>
      <c r="I8" s="56">
        <v>450000</v>
      </c>
      <c r="J8" s="54">
        <v>13500</v>
      </c>
      <c r="K8" s="54">
        <v>13500</v>
      </c>
      <c r="L8" s="54">
        <v>104940</v>
      </c>
      <c r="M8" s="54">
        <f t="shared" si="0"/>
        <v>581940</v>
      </c>
      <c r="N8" s="67">
        <f t="shared" si="1"/>
        <v>-161837.43999999994</v>
      </c>
    </row>
    <row r="9" spans="1:15" ht="18.75" customHeight="1" x14ac:dyDescent="0.25">
      <c r="B9" s="37" t="s">
        <v>85</v>
      </c>
      <c r="C9" s="54">
        <f>+M.Sanitarios!G22</f>
        <v>3879151</v>
      </c>
      <c r="D9" s="54">
        <f>+M.Sanitarios!C15</f>
        <v>200737</v>
      </c>
      <c r="E9" s="54">
        <f>+C9/27</f>
        <v>143672.25925925927</v>
      </c>
      <c r="F9" s="55">
        <f>SUM(D9:E9)</f>
        <v>344409.25925925927</v>
      </c>
      <c r="G9" s="76"/>
      <c r="I9" s="56">
        <v>460000</v>
      </c>
      <c r="J9" s="54">
        <v>13800</v>
      </c>
      <c r="K9" s="54">
        <v>13800</v>
      </c>
      <c r="L9" s="54">
        <v>107272</v>
      </c>
      <c r="M9" s="54">
        <f t="shared" si="0"/>
        <v>594872</v>
      </c>
      <c r="N9" s="84">
        <f t="shared" si="1"/>
        <v>250462.74074074073</v>
      </c>
    </row>
    <row r="10" spans="1:15" ht="18.75" customHeight="1" x14ac:dyDescent="0.25">
      <c r="B10" s="37" t="s">
        <v>86</v>
      </c>
      <c r="C10" s="54"/>
      <c r="D10" s="54">
        <v>630000</v>
      </c>
      <c r="E10" s="54">
        <f t="shared" ref="E10" si="3">+C10/22.5</f>
        <v>0</v>
      </c>
      <c r="F10" s="55">
        <f t="shared" ref="F10" si="4">SUM(D10:E10)</f>
        <v>630000</v>
      </c>
      <c r="G10" s="76"/>
      <c r="I10" s="56">
        <v>1000000</v>
      </c>
      <c r="J10" s="54">
        <v>30000</v>
      </c>
      <c r="K10" s="54">
        <v>30000</v>
      </c>
      <c r="L10" s="54">
        <v>233200</v>
      </c>
      <c r="M10" s="54">
        <f t="shared" si="0"/>
        <v>1293200</v>
      </c>
      <c r="N10" s="47">
        <f t="shared" si="1"/>
        <v>663200</v>
      </c>
    </row>
    <row r="11" spans="1:15" ht="18.75" customHeight="1" x14ac:dyDescent="0.25">
      <c r="B11" s="37" t="s">
        <v>87</v>
      </c>
      <c r="C11" s="54"/>
      <c r="D11" s="54">
        <f>+CARPINTERIA!D15</f>
        <v>217716.8</v>
      </c>
      <c r="E11" s="54">
        <f t="shared" ref="E11:E15" si="5">+C11/22.5</f>
        <v>0</v>
      </c>
      <c r="F11" s="55">
        <f t="shared" ref="F11:F15" si="6">SUM(D11:E11)</f>
        <v>217716.8</v>
      </c>
      <c r="G11" s="76"/>
      <c r="I11" s="56">
        <v>672000</v>
      </c>
      <c r="J11" s="54">
        <v>20160</v>
      </c>
      <c r="K11" s="54">
        <v>20160</v>
      </c>
      <c r="L11" s="54">
        <v>156710</v>
      </c>
      <c r="M11" s="54">
        <f t="shared" si="0"/>
        <v>869030</v>
      </c>
      <c r="N11" s="84">
        <f>+M11-F11</f>
        <v>651313.19999999995</v>
      </c>
      <c r="O11" s="74"/>
    </row>
    <row r="12" spans="1:15" ht="18.75" customHeight="1" x14ac:dyDescent="0.25">
      <c r="B12" s="37" t="s">
        <v>88</v>
      </c>
      <c r="C12" s="54">
        <f>+Estructura!L121</f>
        <v>422970</v>
      </c>
      <c r="D12" s="54"/>
      <c r="E12" s="54">
        <f>+C12/27</f>
        <v>15665.555555555555</v>
      </c>
      <c r="F12" s="55">
        <f t="shared" ref="F12:F13" si="7">SUM(D12:E12)</f>
        <v>15665.555555555555</v>
      </c>
      <c r="G12" s="76"/>
      <c r="I12" s="56">
        <v>122950</v>
      </c>
      <c r="J12" s="54">
        <v>3688</v>
      </c>
      <c r="K12" s="54">
        <v>3688</v>
      </c>
      <c r="L12" s="54">
        <v>28671</v>
      </c>
      <c r="M12" s="54">
        <f t="shared" si="0"/>
        <v>158997</v>
      </c>
      <c r="N12" s="47">
        <f t="shared" si="1"/>
        <v>143331.44444444444</v>
      </c>
      <c r="O12" s="74"/>
    </row>
    <row r="13" spans="1:15" ht="18.75" customHeight="1" x14ac:dyDescent="0.25">
      <c r="B13" s="37" t="s">
        <v>89</v>
      </c>
      <c r="C13" s="54">
        <v>8905097</v>
      </c>
      <c r="D13" s="54"/>
      <c r="E13" s="54">
        <f>+C13/30</f>
        <v>296836.56666666665</v>
      </c>
      <c r="F13" s="55">
        <f t="shared" si="7"/>
        <v>296836.56666666665</v>
      </c>
      <c r="G13" s="76"/>
      <c r="I13" s="56">
        <v>590165</v>
      </c>
      <c r="J13" s="54">
        <v>17705</v>
      </c>
      <c r="K13" s="54">
        <v>17705</v>
      </c>
      <c r="L13" s="54">
        <v>137626</v>
      </c>
      <c r="M13" s="54">
        <f t="shared" si="0"/>
        <v>763201</v>
      </c>
      <c r="N13" s="73">
        <f t="shared" si="1"/>
        <v>466364.43333333335</v>
      </c>
      <c r="O13" s="74" t="s">
        <v>132</v>
      </c>
    </row>
    <row r="14" spans="1:15" ht="18.75" customHeight="1" x14ac:dyDescent="0.25">
      <c r="B14" s="37" t="s">
        <v>90</v>
      </c>
      <c r="C14" s="54"/>
      <c r="D14" s="54">
        <v>24400</v>
      </c>
      <c r="E14" s="54">
        <v>94865.37</v>
      </c>
      <c r="F14" s="55">
        <f>SUM(D14:E14)</f>
        <v>119265.37</v>
      </c>
      <c r="G14" s="76" t="s">
        <v>106</v>
      </c>
      <c r="I14" s="56">
        <v>90165</v>
      </c>
      <c r="J14" s="54">
        <v>2705</v>
      </c>
      <c r="K14" s="54">
        <v>2705</v>
      </c>
      <c r="L14" s="54">
        <v>21026</v>
      </c>
      <c r="M14" s="54">
        <f t="shared" si="0"/>
        <v>116601</v>
      </c>
      <c r="N14" s="73">
        <f>+M14-F14</f>
        <v>-2664.3699999999953</v>
      </c>
      <c r="O14" s="74" t="s">
        <v>142</v>
      </c>
    </row>
    <row r="15" spans="1:15" ht="18.75" customHeight="1" x14ac:dyDescent="0.25">
      <c r="B15" s="37" t="s">
        <v>91</v>
      </c>
      <c r="C15" s="54"/>
      <c r="D15" s="54">
        <v>13000</v>
      </c>
      <c r="E15" s="54">
        <f t="shared" si="5"/>
        <v>0</v>
      </c>
      <c r="F15" s="55">
        <f t="shared" si="6"/>
        <v>13000</v>
      </c>
      <c r="G15" s="76" t="s">
        <v>209</v>
      </c>
      <c r="I15" s="56">
        <v>40985</v>
      </c>
      <c r="J15" s="54">
        <v>1230</v>
      </c>
      <c r="K15" s="54">
        <v>1230</v>
      </c>
      <c r="L15" s="54">
        <v>9558</v>
      </c>
      <c r="M15" s="54">
        <f t="shared" si="0"/>
        <v>53003</v>
      </c>
      <c r="N15" s="47">
        <f t="shared" si="1"/>
        <v>40003</v>
      </c>
    </row>
    <row r="16" spans="1:15" ht="17.25" customHeight="1" x14ac:dyDescent="0.25">
      <c r="B16" s="37"/>
      <c r="C16" s="54"/>
      <c r="D16" s="54"/>
      <c r="E16" s="54"/>
      <c r="F16" s="55"/>
      <c r="I16" s="56"/>
      <c r="J16" s="54"/>
      <c r="K16" s="54"/>
      <c r="L16" s="54"/>
      <c r="M16" s="54"/>
    </row>
    <row r="17" spans="2:15" ht="17.25" customHeight="1" x14ac:dyDescent="0.25">
      <c r="B17" s="96"/>
      <c r="C17" s="57"/>
      <c r="D17" s="57"/>
      <c r="E17" s="57"/>
      <c r="F17" s="58"/>
      <c r="G17" s="59"/>
      <c r="I17" s="60"/>
      <c r="J17" s="57"/>
      <c r="K17" s="57"/>
      <c r="L17" s="57"/>
      <c r="M17" s="57"/>
      <c r="N17" s="97"/>
      <c r="O17" s="98"/>
    </row>
    <row r="18" spans="2:15" ht="17.25" customHeight="1" x14ac:dyDescent="0.25">
      <c r="B18" s="37"/>
      <c r="C18" s="61">
        <f>SUM(C3:C17)</f>
        <v>45030061.853399999</v>
      </c>
      <c r="D18" s="61">
        <f>SUM(D3:D17)</f>
        <v>6894122.3746556863</v>
      </c>
      <c r="E18" s="61">
        <f>SUM(E3:E17)</f>
        <v>1965388.3671881482</v>
      </c>
      <c r="F18" s="62">
        <f>SUM(F3:F17)</f>
        <v>6488753.0281881485</v>
      </c>
      <c r="I18" s="56"/>
      <c r="J18" s="54"/>
      <c r="K18" s="54"/>
      <c r="L18" s="54"/>
      <c r="M18" s="63">
        <f>SUM(M3:M17)</f>
        <v>10778113</v>
      </c>
    </row>
    <row r="19" spans="2:15" ht="18.75" customHeight="1" x14ac:dyDescent="0.25">
      <c r="M19" s="64" t="s">
        <v>97</v>
      </c>
      <c r="N19" s="64">
        <f>+M18-F18</f>
        <v>4289359.9718118515</v>
      </c>
    </row>
    <row r="20" spans="2:15" ht="18.75" customHeight="1" x14ac:dyDescent="0.25">
      <c r="B20" s="1" t="s">
        <v>179</v>
      </c>
      <c r="C20" s="47" t="s">
        <v>180</v>
      </c>
    </row>
    <row r="21" spans="2:15" ht="18.75" customHeight="1" x14ac:dyDescent="0.25">
      <c r="B21" s="1" t="s">
        <v>181</v>
      </c>
      <c r="C21" s="47" t="s">
        <v>182</v>
      </c>
    </row>
  </sheetData>
  <mergeCells count="2">
    <mergeCell ref="B1:G1"/>
    <mergeCell ref="I1:N1"/>
  </mergeCells>
  <pageMargins left="0.7" right="0.7" top="0.75" bottom="0.75" header="0.3" footer="0.3"/>
  <pageSetup paperSize="9" scale="73" orientation="landscape" horizontalDpi="4294967293" verticalDpi="4294967293" r:id="rId1"/>
  <ignoredErrors>
    <ignoredError sqref="N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Pilotaje y Muro colado</vt:lpstr>
      <vt:lpstr>Excavacion</vt:lpstr>
      <vt:lpstr>Estructura</vt:lpstr>
      <vt:lpstr>Albañileria</vt:lpstr>
      <vt:lpstr>CARPINTERIA</vt:lpstr>
      <vt:lpstr>M.Sanitarios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Natalia</cp:lastModifiedBy>
  <cp:lastPrinted>2016-06-02T12:44:30Z</cp:lastPrinted>
  <dcterms:created xsi:type="dcterms:W3CDTF">2013-08-16T20:33:58Z</dcterms:created>
  <dcterms:modified xsi:type="dcterms:W3CDTF">2016-11-28T19:20:43Z</dcterms:modified>
</cp:coreProperties>
</file>